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o\Desktop\"/>
    </mc:Choice>
  </mc:AlternateContent>
  <xr:revisionPtr revIDLastSave="0" documentId="13_ncr:1_{9E03527B-386D-49AD-81A7-CCF933D9BF0C}" xr6:coauthVersionLast="47" xr6:coauthVersionMax="47" xr10:uidLastSave="{00000000-0000-0000-0000-000000000000}"/>
  <workbookProtection workbookAlgorithmName="SHA-512" workbookHashValue="FHHfLSkMBd8pTKHazbgy41C1nzazLWVXecppVq1CxWkm2onsJeiPvZI1tdw0wzqpB8Asi97NGsBA+uHILLLmMA==" workbookSaltValue="qZOhd8djR5mYHlu0+un8FQ==" workbookSpinCount="100000" lockStructure="1"/>
  <bookViews>
    <workbookView xWindow="-120" yWindow="-120" windowWidth="29040" windowHeight="15840" xr2:uid="{DAC5E288-2792-476E-9BD3-573011D4BE19}"/>
  </bookViews>
  <sheets>
    <sheet name="CONVERSOR EHE-08 a CodE" sheetId="1" r:id="rId1"/>
    <sheet name="CONVERSOR CodE a EHE-08" sheetId="8" r:id="rId2"/>
    <sheet name="CÁLCULO TRADUCTOR EHE-CodE" sheetId="5" state="hidden" r:id="rId3"/>
    <sheet name="CÁLCULO TRADUCTOR CodE-EHE" sheetId="10" state="hidden" r:id="rId4"/>
    <sheet name="PRESCRIPCIONES EHE-CodE" sheetId="7" state="hidden" r:id="rId5"/>
    <sheet name="PRESCRIPCIONES CodE-EHE" sheetId="11" state="hidden" r:id="rId6"/>
    <sheet name="Prescripciones generales" sheetId="6" state="hidden" r:id="rId7"/>
  </sheets>
  <definedNames>
    <definedName name="_xlnm._FilterDatabase" localSheetId="3" hidden="1">'CÁLCULO TRADUCTOR CodE-EHE'!$A$5:$A$15</definedName>
    <definedName name="_xlnm._FilterDatabase" localSheetId="1" hidden="1">'CONVERSOR CodE a EHE-08'!$C$3:$K$11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8" l="1"/>
  <c r="M19" i="8"/>
  <c r="M17" i="8"/>
  <c r="M14" i="1"/>
  <c r="C21" i="8"/>
  <c r="C20" i="8"/>
  <c r="C19" i="8"/>
  <c r="C16" i="8"/>
  <c r="C15" i="8"/>
  <c r="C14" i="8"/>
  <c r="C11" i="8"/>
  <c r="C10" i="8"/>
  <c r="C9" i="8"/>
  <c r="D60" i="6"/>
  <c r="D57" i="6"/>
  <c r="D54" i="6"/>
  <c r="D51" i="6"/>
  <c r="D48" i="6"/>
  <c r="D45" i="6"/>
  <c r="D42" i="6"/>
  <c r="D39" i="6"/>
  <c r="D30" i="6"/>
  <c r="D28" i="6"/>
  <c r="D26" i="6"/>
  <c r="D24" i="6"/>
  <c r="D22" i="6"/>
  <c r="D20" i="6"/>
  <c r="D18" i="6"/>
  <c r="D16" i="6"/>
  <c r="D14" i="6"/>
  <c r="D12" i="6"/>
  <c r="D36" i="6"/>
  <c r="D33" i="6"/>
  <c r="D10" i="6"/>
  <c r="W18" i="6"/>
  <c r="Q21" i="6" s="1"/>
  <c r="V18" i="6"/>
  <c r="S20" i="6" s="1"/>
  <c r="U18" i="6"/>
  <c r="Q19" i="6" s="1"/>
  <c r="B102" i="10"/>
  <c r="M8" i="11"/>
  <c r="C15" i="11" s="1"/>
  <c r="K8" i="11"/>
  <c r="C14" i="11" s="1"/>
  <c r="I8" i="11"/>
  <c r="C13" i="11" s="1"/>
  <c r="H8" i="11"/>
  <c r="G8" i="11"/>
  <c r="F8" i="11"/>
  <c r="E8" i="11"/>
  <c r="B13" i="11" s="1"/>
  <c r="B109" i="10"/>
  <c r="C109" i="10" s="1"/>
  <c r="B108" i="10"/>
  <c r="C108" i="10" s="1"/>
  <c r="B107" i="10"/>
  <c r="C107" i="10" s="1"/>
  <c r="C110" i="10" l="1"/>
  <c r="B110" i="10"/>
  <c r="R20" i="6"/>
  <c r="R21" i="6"/>
  <c r="R19" i="6"/>
  <c r="P20" i="6"/>
  <c r="T20" i="6"/>
  <c r="O19" i="6"/>
  <c r="S19" i="6"/>
  <c r="Q20" i="6"/>
  <c r="Q24" i="6" s="1"/>
  <c r="O21" i="6"/>
  <c r="S21" i="6"/>
  <c r="P19" i="6"/>
  <c r="T19" i="6"/>
  <c r="P21" i="6"/>
  <c r="T21" i="6"/>
  <c r="O20" i="6"/>
  <c r="D13" i="11"/>
  <c r="B14" i="11"/>
  <c r="D14" i="11" s="1"/>
  <c r="B15" i="11"/>
  <c r="D15" i="11" s="1"/>
  <c r="Q66" i="10"/>
  <c r="T66" i="10" s="1"/>
  <c r="R68" i="10"/>
  <c r="R67" i="10"/>
  <c r="R66" i="10"/>
  <c r="U66" i="10" s="1"/>
  <c r="C18" i="8"/>
  <c r="C13" i="8"/>
  <c r="C8" i="8"/>
  <c r="A26" i="10"/>
  <c r="A21" i="10"/>
  <c r="M16" i="8"/>
  <c r="P5" i="8"/>
  <c r="O5" i="8"/>
  <c r="M5" i="8"/>
  <c r="J5" i="8"/>
  <c r="H5" i="8"/>
  <c r="M21" i="1"/>
  <c r="S24" i="6" l="1"/>
  <c r="R24" i="6"/>
  <c r="T24" i="6"/>
  <c r="P24" i="6"/>
  <c r="O24" i="6"/>
  <c r="N8" i="1" s="1"/>
  <c r="Q65" i="10"/>
  <c r="Q68" i="10"/>
  <c r="S63" i="10"/>
  <c r="V63" i="10" s="1"/>
  <c r="S66" i="10"/>
  <c r="V66" i="10" s="1"/>
  <c r="S64" i="10"/>
  <c r="S67" i="10"/>
  <c r="Q64" i="10"/>
  <c r="Q67" i="10"/>
  <c r="S65" i="10"/>
  <c r="S68" i="10"/>
  <c r="R60" i="10"/>
  <c r="U60" i="10" s="1"/>
  <c r="R63" i="10"/>
  <c r="U63" i="10" s="1"/>
  <c r="R61" i="10"/>
  <c r="R64" i="10"/>
  <c r="R62" i="10"/>
  <c r="R65" i="10"/>
  <c r="Q60" i="10"/>
  <c r="Q63" i="10"/>
  <c r="T63" i="10" s="1"/>
  <c r="S57" i="10"/>
  <c r="V57" i="10" s="1"/>
  <c r="S60" i="10"/>
  <c r="V60" i="10" s="1"/>
  <c r="S58" i="10"/>
  <c r="S61" i="10"/>
  <c r="Q58" i="10"/>
  <c r="Q61" i="10"/>
  <c r="S59" i="10"/>
  <c r="S62" i="10"/>
  <c r="Q59" i="10"/>
  <c r="Q62" i="10"/>
  <c r="R54" i="10"/>
  <c r="U54" i="10" s="1"/>
  <c r="R57" i="10"/>
  <c r="U57" i="10" s="1"/>
  <c r="R56" i="10"/>
  <c r="R59" i="10"/>
  <c r="R55" i="10"/>
  <c r="R58" i="10"/>
  <c r="Q54" i="10"/>
  <c r="T54" i="10" s="1"/>
  <c r="Q57" i="10"/>
  <c r="T57" i="10" s="1"/>
  <c r="Q53" i="10"/>
  <c r="Q56" i="10"/>
  <c r="S51" i="10"/>
  <c r="V51" i="10" s="1"/>
  <c r="S54" i="10"/>
  <c r="V54" i="10" s="1"/>
  <c r="S52" i="10"/>
  <c r="S55" i="10"/>
  <c r="S53" i="10"/>
  <c r="S56" i="10"/>
  <c r="Q52" i="10"/>
  <c r="Q55" i="10"/>
  <c r="Q48" i="10"/>
  <c r="T48" i="10" s="1"/>
  <c r="Q51" i="10"/>
  <c r="T51" i="10" s="1"/>
  <c r="R48" i="10"/>
  <c r="R51" i="10"/>
  <c r="U51" i="10" s="1"/>
  <c r="R49" i="10"/>
  <c r="R52" i="10"/>
  <c r="R50" i="10"/>
  <c r="R53" i="10"/>
  <c r="S45" i="10"/>
  <c r="V45" i="10" s="1"/>
  <c r="S48" i="10"/>
  <c r="V48" i="10" s="1"/>
  <c r="S46" i="10"/>
  <c r="S49" i="10"/>
  <c r="Q46" i="10"/>
  <c r="Q49" i="10"/>
  <c r="S47" i="10"/>
  <c r="S50" i="10"/>
  <c r="Q47" i="10"/>
  <c r="Q50" i="10"/>
  <c r="R42" i="10"/>
  <c r="U42" i="10" s="1"/>
  <c r="R45" i="10"/>
  <c r="U45" i="10" s="1"/>
  <c r="R43" i="10"/>
  <c r="R46" i="10"/>
  <c r="R44" i="10"/>
  <c r="R47" i="10"/>
  <c r="Q42" i="10"/>
  <c r="T42" i="10" s="1"/>
  <c r="Q45" i="10"/>
  <c r="T45" i="10" s="1"/>
  <c r="Q40" i="10"/>
  <c r="Q43" i="10"/>
  <c r="S41" i="10"/>
  <c r="S44" i="10"/>
  <c r="S39" i="10"/>
  <c r="V39" i="10" s="1"/>
  <c r="S42" i="10"/>
  <c r="V42" i="10" s="1"/>
  <c r="Q41" i="10"/>
  <c r="Q44" i="10"/>
  <c r="S40" i="10"/>
  <c r="S43" i="10"/>
  <c r="R36" i="10"/>
  <c r="U36" i="10" s="1"/>
  <c r="R39" i="10"/>
  <c r="U39" i="10" s="1"/>
  <c r="R37" i="10"/>
  <c r="R40" i="10"/>
  <c r="R38" i="10"/>
  <c r="R41" i="10"/>
  <c r="Q36" i="10"/>
  <c r="T36" i="10" s="1"/>
  <c r="Q39" i="10"/>
  <c r="T39" i="10" s="1"/>
  <c r="Q35" i="10"/>
  <c r="Q38" i="10"/>
  <c r="S30" i="10"/>
  <c r="V30" i="10" s="1"/>
  <c r="S36" i="10"/>
  <c r="V36" i="10" s="1"/>
  <c r="Q34" i="10"/>
  <c r="Q37" i="10"/>
  <c r="S31" i="10"/>
  <c r="S37" i="10"/>
  <c r="S32" i="10"/>
  <c r="S38" i="10"/>
  <c r="R32" i="10"/>
  <c r="S35" i="10"/>
  <c r="R35" i="10"/>
  <c r="Q30" i="10"/>
  <c r="T30" i="10" s="1"/>
  <c r="Q33" i="10"/>
  <c r="T33" i="10" s="1"/>
  <c r="R30" i="10"/>
  <c r="R33" i="10"/>
  <c r="U33" i="10" s="1"/>
  <c r="S33" i="10"/>
  <c r="V33" i="10" s="1"/>
  <c r="R31" i="10"/>
  <c r="R34" i="10"/>
  <c r="S34" i="10"/>
  <c r="Q29" i="10"/>
  <c r="Q32" i="10"/>
  <c r="Q28" i="10"/>
  <c r="Q31" i="10"/>
  <c r="S24" i="10"/>
  <c r="V24" i="10" s="1"/>
  <c r="S27" i="10"/>
  <c r="V27" i="10" s="1"/>
  <c r="R24" i="10"/>
  <c r="U24" i="10" s="1"/>
  <c r="R27" i="10"/>
  <c r="U27" i="10" s="1"/>
  <c r="R25" i="10"/>
  <c r="R28" i="10"/>
  <c r="S25" i="10"/>
  <c r="S28" i="10"/>
  <c r="R26" i="10"/>
  <c r="R29" i="10"/>
  <c r="S26" i="10"/>
  <c r="S29" i="10"/>
  <c r="Q24" i="10"/>
  <c r="T24" i="10" s="1"/>
  <c r="Q27" i="10"/>
  <c r="Q22" i="10"/>
  <c r="Q25" i="10"/>
  <c r="Q23" i="10"/>
  <c r="Q26" i="10"/>
  <c r="R18" i="10"/>
  <c r="U18" i="10" s="1"/>
  <c r="R21" i="10"/>
  <c r="U21" i="10" s="1"/>
  <c r="S18" i="10"/>
  <c r="V18" i="10" s="1"/>
  <c r="S21" i="10"/>
  <c r="V21" i="10" s="1"/>
  <c r="R19" i="10"/>
  <c r="R22" i="10"/>
  <c r="S19" i="10"/>
  <c r="S22" i="10"/>
  <c r="R20" i="10"/>
  <c r="R23" i="10"/>
  <c r="S20" i="10"/>
  <c r="S23" i="10"/>
  <c r="Q16" i="10"/>
  <c r="Q19" i="10"/>
  <c r="Q17" i="10"/>
  <c r="Q20" i="10"/>
  <c r="Q15" i="10"/>
  <c r="Q21" i="10"/>
  <c r="T21" i="10" s="1"/>
  <c r="Q18" i="10"/>
  <c r="T18" i="10" s="1"/>
  <c r="R12" i="10"/>
  <c r="U12" i="10" s="1"/>
  <c r="R15" i="10"/>
  <c r="U15" i="10" s="1"/>
  <c r="S12" i="10"/>
  <c r="V12" i="10" s="1"/>
  <c r="S15" i="10"/>
  <c r="V15" i="10" s="1"/>
  <c r="R13" i="10"/>
  <c r="R16" i="10"/>
  <c r="S13" i="10"/>
  <c r="S16" i="10"/>
  <c r="R14" i="10"/>
  <c r="R17" i="10"/>
  <c r="S14" i="10"/>
  <c r="S17" i="10"/>
  <c r="Q10" i="10"/>
  <c r="Q13" i="10"/>
  <c r="Q11" i="10"/>
  <c r="Q14" i="10"/>
  <c r="Q12" i="10"/>
  <c r="Q9" i="10"/>
  <c r="T9" i="10" s="1"/>
  <c r="R6" i="10"/>
  <c r="U6" i="10" s="1"/>
  <c r="R9" i="10"/>
  <c r="S6" i="10"/>
  <c r="V6" i="10" s="1"/>
  <c r="S9" i="10"/>
  <c r="V9" i="10" s="1"/>
  <c r="R7" i="10"/>
  <c r="R10" i="10"/>
  <c r="S7" i="10"/>
  <c r="S10" i="10"/>
  <c r="R8" i="10"/>
  <c r="R11" i="10"/>
  <c r="S8" i="10"/>
  <c r="S11" i="10"/>
  <c r="Q7" i="10"/>
  <c r="Q8" i="10"/>
  <c r="Q6" i="10"/>
  <c r="D59" i="6"/>
  <c r="D58" i="6"/>
  <c r="D56" i="6"/>
  <c r="D55" i="6"/>
  <c r="D53" i="6"/>
  <c r="D52" i="6"/>
  <c r="D50" i="6"/>
  <c r="D49" i="6"/>
  <c r="D47" i="6"/>
  <c r="D46" i="6"/>
  <c r="D44" i="6"/>
  <c r="D43" i="6"/>
  <c r="D41" i="6"/>
  <c r="D40" i="6"/>
  <c r="D38" i="6"/>
  <c r="D37" i="6"/>
  <c r="D35" i="6"/>
  <c r="D34" i="6"/>
  <c r="D32" i="6"/>
  <c r="D31" i="6"/>
  <c r="D29" i="6"/>
  <c r="D27" i="6"/>
  <c r="D25" i="6"/>
  <c r="D23" i="6"/>
  <c r="D21" i="6"/>
  <c r="D19" i="6"/>
  <c r="D17" i="6"/>
  <c r="D15" i="6"/>
  <c r="D13" i="6"/>
  <c r="D11" i="6"/>
  <c r="D9" i="6"/>
  <c r="D8" i="6"/>
  <c r="J13" i="11" s="1"/>
  <c r="M16" i="1"/>
  <c r="U48" i="10" l="1"/>
  <c r="U30" i="10"/>
  <c r="T27" i="10"/>
  <c r="H15" i="11"/>
  <c r="H19" i="11" s="1"/>
  <c r="J14" i="11"/>
  <c r="J18" i="11" s="1"/>
  <c r="I15" i="11"/>
  <c r="J15" i="11"/>
  <c r="J19" i="11" s="1"/>
  <c r="F13" i="11"/>
  <c r="F17" i="11" s="1"/>
  <c r="G15" i="11"/>
  <c r="G19" i="11" s="1"/>
  <c r="G14" i="11"/>
  <c r="G18" i="11" s="1"/>
  <c r="E14" i="11"/>
  <c r="E18" i="11" s="1"/>
  <c r="E15" i="11"/>
  <c r="E19" i="11" s="1"/>
  <c r="G13" i="11"/>
  <c r="G17" i="11" s="1"/>
  <c r="H13" i="11"/>
  <c r="H17" i="11" s="1"/>
  <c r="F14" i="11"/>
  <c r="F18" i="11" s="1"/>
  <c r="E13" i="11"/>
  <c r="E17" i="11" s="1"/>
  <c r="H14" i="11"/>
  <c r="H18" i="11" s="1"/>
  <c r="I14" i="11"/>
  <c r="F15" i="11"/>
  <c r="F19" i="11" s="1"/>
  <c r="I13" i="11"/>
  <c r="N9" i="1"/>
  <c r="J17" i="11"/>
  <c r="T15" i="10"/>
  <c r="T12" i="10"/>
  <c r="T60" i="10"/>
  <c r="U9" i="10"/>
  <c r="B70" i="5"/>
  <c r="C18" i="1"/>
  <c r="C13" i="1"/>
  <c r="M19" i="1"/>
  <c r="M17" i="1"/>
  <c r="C21" i="1"/>
  <c r="C20" i="1"/>
  <c r="C19" i="1"/>
  <c r="I21" i="11" l="1" a="1"/>
  <c r="I21" i="11" s="1"/>
  <c r="I25" i="11" s="1"/>
  <c r="E26" i="11"/>
  <c r="O11" i="8" s="1"/>
  <c r="E25" i="11"/>
  <c r="N11" i="8" s="1"/>
  <c r="J20" i="11"/>
  <c r="J25" i="11" s="1"/>
  <c r="T11" i="8" s="1"/>
  <c r="G20" i="11"/>
  <c r="G21" i="11" s="1"/>
  <c r="G25" i="11" s="1"/>
  <c r="S9" i="8" s="1"/>
  <c r="F20" i="11"/>
  <c r="F21" i="11" s="1"/>
  <c r="F25" i="11" s="1"/>
  <c r="S8" i="8" s="1"/>
  <c r="H20" i="11"/>
  <c r="H21" i="11" s="1"/>
  <c r="H25" i="11" s="1"/>
  <c r="S10" i="8" s="1"/>
  <c r="R44" i="5"/>
  <c r="R36" i="5"/>
  <c r="V26" i="10"/>
  <c r="V28" i="10"/>
  <c r="V22" i="10"/>
  <c r="V23" i="10"/>
  <c r="R40" i="5"/>
  <c r="R30" i="5"/>
  <c r="R33" i="5"/>
  <c r="U33" i="5" s="1"/>
  <c r="R34" i="5"/>
  <c r="R37" i="5"/>
  <c r="R31" i="5"/>
  <c r="R42" i="5"/>
  <c r="R29" i="5"/>
  <c r="R38" i="5"/>
  <c r="R43" i="5"/>
  <c r="R41" i="5"/>
  <c r="R27" i="5"/>
  <c r="U27" i="5" s="1"/>
  <c r="R35" i="5"/>
  <c r="R39" i="5"/>
  <c r="R28" i="5"/>
  <c r="R32" i="5"/>
  <c r="J5" i="1"/>
  <c r="P5" i="1"/>
  <c r="H8" i="7" s="1"/>
  <c r="O5" i="1"/>
  <c r="G8" i="7" s="1"/>
  <c r="M5" i="1"/>
  <c r="E8" i="7" s="1"/>
  <c r="C8" i="1"/>
  <c r="C9" i="1"/>
  <c r="C16" i="1"/>
  <c r="C15" i="1"/>
  <c r="C14" i="1"/>
  <c r="C11" i="1"/>
  <c r="C10" i="1"/>
  <c r="A26" i="5"/>
  <c r="A21" i="5"/>
  <c r="H5" i="1"/>
  <c r="U39" i="5" l="1"/>
  <c r="U30" i="5"/>
  <c r="U36" i="5"/>
  <c r="V69" i="10" a="1"/>
  <c r="V69" i="10" s="1"/>
  <c r="U23" i="10"/>
  <c r="U26" i="10"/>
  <c r="U28" i="10"/>
  <c r="U22" i="10"/>
  <c r="T17" i="10"/>
  <c r="T16" i="10"/>
  <c r="T6" i="10"/>
  <c r="B14" i="7"/>
  <c r="B15" i="7"/>
  <c r="B13" i="7"/>
  <c r="U42" i="5"/>
  <c r="Q26" i="5"/>
  <c r="Q34" i="5"/>
  <c r="Q35" i="5"/>
  <c r="Q30" i="5"/>
  <c r="Q38" i="5"/>
  <c r="Q31" i="5"/>
  <c r="Q43" i="5"/>
  <c r="Q42" i="5"/>
  <c r="T42" i="5" s="1"/>
  <c r="Q28" i="5"/>
  <c r="Q32" i="5"/>
  <c r="Q36" i="5"/>
  <c r="Q40" i="5"/>
  <c r="Q44" i="5"/>
  <c r="Q27" i="5"/>
  <c r="T27" i="5" s="1"/>
  <c r="Q39" i="5"/>
  <c r="Q29" i="5"/>
  <c r="Q33" i="5"/>
  <c r="Q37" i="5"/>
  <c r="Q41" i="5"/>
  <c r="Q6" i="5"/>
  <c r="Q14" i="5"/>
  <c r="Q18" i="5"/>
  <c r="Q22" i="5"/>
  <c r="Q7" i="5"/>
  <c r="Q11" i="5"/>
  <c r="Q15" i="5"/>
  <c r="Q19" i="5"/>
  <c r="Q23" i="5"/>
  <c r="Q8" i="5"/>
  <c r="Q12" i="5"/>
  <c r="Q16" i="5"/>
  <c r="Q20" i="5"/>
  <c r="Q24" i="5"/>
  <c r="S24" i="5" s="1"/>
  <c r="Q10" i="5"/>
  <c r="Q9" i="5"/>
  <c r="Q13" i="5"/>
  <c r="Q17" i="5"/>
  <c r="Q21" i="5"/>
  <c r="S21" i="5" s="1"/>
  <c r="Q25" i="5"/>
  <c r="U5" i="8" l="1"/>
  <c r="P71" i="10"/>
  <c r="L71" i="10"/>
  <c r="H71" i="10"/>
  <c r="O71" i="10"/>
  <c r="K71" i="10"/>
  <c r="M71" i="10"/>
  <c r="I71" i="10"/>
  <c r="N71" i="10"/>
  <c r="J71" i="10"/>
  <c r="T69" i="10" a="1"/>
  <c r="T69" i="10" s="1"/>
  <c r="U45" i="5" a="1"/>
  <c r="U45" i="5" s="1"/>
  <c r="T36" i="5"/>
  <c r="S12" i="5"/>
  <c r="S18" i="5"/>
  <c r="T39" i="5"/>
  <c r="S6" i="5"/>
  <c r="T30" i="5"/>
  <c r="S9" i="5"/>
  <c r="T33" i="5"/>
  <c r="S15" i="5"/>
  <c r="W26" i="6" l="1"/>
  <c r="R29" i="6" s="1"/>
  <c r="S45" i="5" a="1"/>
  <c r="S45" i="5" s="1"/>
  <c r="H45" i="5" s="1"/>
  <c r="B76" i="5"/>
  <c r="H47" i="5"/>
  <c r="P69" i="10"/>
  <c r="L69" i="10"/>
  <c r="M69" i="10"/>
  <c r="I69" i="10"/>
  <c r="O69" i="10"/>
  <c r="K69" i="10"/>
  <c r="N69" i="10"/>
  <c r="J69" i="10"/>
  <c r="Q5" i="8"/>
  <c r="U26" i="6" s="1"/>
  <c r="H69" i="10"/>
  <c r="T45" i="5" a="1"/>
  <c r="T45" i="5" s="1"/>
  <c r="U69" i="10" a="1"/>
  <c r="U69" i="10" s="1"/>
  <c r="M47" i="5"/>
  <c r="P47" i="5"/>
  <c r="I47" i="5"/>
  <c r="K47" i="5"/>
  <c r="J47" i="5"/>
  <c r="U5" i="1"/>
  <c r="M8" i="7" s="1"/>
  <c r="C15" i="7" s="1"/>
  <c r="D15" i="7" s="1"/>
  <c r="N47" i="5"/>
  <c r="L47" i="5"/>
  <c r="T5" i="8"/>
  <c r="O47" i="5"/>
  <c r="S29" i="6" l="1"/>
  <c r="P29" i="6"/>
  <c r="O29" i="6"/>
  <c r="T29" i="6"/>
  <c r="Q29" i="6"/>
  <c r="I15" i="7"/>
  <c r="E15" i="7"/>
  <c r="E19" i="7" s="1"/>
  <c r="J15" i="7"/>
  <c r="J19" i="7" s="1"/>
  <c r="F15" i="7"/>
  <c r="F19" i="7" s="1"/>
  <c r="G15" i="7"/>
  <c r="G19" i="7" s="1"/>
  <c r="H15" i="7"/>
  <c r="H19" i="7" s="1"/>
  <c r="Q27" i="6"/>
  <c r="R27" i="6"/>
  <c r="S27" i="6"/>
  <c r="P27" i="6"/>
  <c r="T27" i="6"/>
  <c r="O27" i="6"/>
  <c r="B75" i="5"/>
  <c r="B77" i="5" s="1"/>
  <c r="H46" i="5"/>
  <c r="S5" i="8"/>
  <c r="M70" i="10"/>
  <c r="M74" i="10" s="1"/>
  <c r="I70" i="10"/>
  <c r="I74" i="10" s="1"/>
  <c r="J70" i="10"/>
  <c r="J74" i="10" s="1"/>
  <c r="N70" i="10"/>
  <c r="N74" i="10" s="1"/>
  <c r="L70" i="10"/>
  <c r="L74" i="10" s="1"/>
  <c r="H70" i="10"/>
  <c r="H74" i="10" s="1"/>
  <c r="H75" i="10" s="1"/>
  <c r="H76" i="10" s="1"/>
  <c r="O70" i="10"/>
  <c r="O74" i="10" s="1"/>
  <c r="K70" i="10"/>
  <c r="K74" i="10" s="1"/>
  <c r="P70" i="10"/>
  <c r="P74" i="10" s="1"/>
  <c r="T5" i="1"/>
  <c r="S5" i="1"/>
  <c r="K8" i="7" s="1"/>
  <c r="C14" i="7" s="1"/>
  <c r="D14" i="7" s="1"/>
  <c r="P46" i="5"/>
  <c r="O46" i="5"/>
  <c r="N46" i="5"/>
  <c r="Q5" i="1"/>
  <c r="N45" i="5"/>
  <c r="P45" i="5"/>
  <c r="O45" i="5"/>
  <c r="J46" i="5"/>
  <c r="I46" i="5"/>
  <c r="M46" i="5"/>
  <c r="K46" i="5"/>
  <c r="L46" i="5"/>
  <c r="I45" i="5"/>
  <c r="M45" i="5"/>
  <c r="J45" i="5"/>
  <c r="L45" i="5"/>
  <c r="K45" i="5"/>
  <c r="V26" i="6" l="1"/>
  <c r="R28" i="6" s="1"/>
  <c r="R32" i="6" s="1"/>
  <c r="M15" i="8"/>
  <c r="O9" i="8"/>
  <c r="O8" i="8"/>
  <c r="H14" i="7"/>
  <c r="H18" i="7" s="1"/>
  <c r="I14" i="7"/>
  <c r="E14" i="7"/>
  <c r="J14" i="7"/>
  <c r="J18" i="7" s="1"/>
  <c r="F14" i="7"/>
  <c r="F18" i="7" s="1"/>
  <c r="G14" i="7"/>
  <c r="G18" i="7" s="1"/>
  <c r="B103" i="10"/>
  <c r="B104" i="10" s="1"/>
  <c r="N5" i="8" s="1"/>
  <c r="L8" i="7"/>
  <c r="L8" i="11"/>
  <c r="R5" i="8"/>
  <c r="I8" i="7"/>
  <c r="C13" i="7" s="1"/>
  <c r="D13" i="7" s="1"/>
  <c r="M15" i="1"/>
  <c r="O50" i="5"/>
  <c r="R5" i="1"/>
  <c r="L50" i="5"/>
  <c r="J50" i="5"/>
  <c r="M50" i="5"/>
  <c r="H50" i="5"/>
  <c r="I50" i="5"/>
  <c r="P50" i="5"/>
  <c r="K50" i="5"/>
  <c r="N50" i="5"/>
  <c r="O28" i="6" l="1"/>
  <c r="O32" i="6" s="1"/>
  <c r="T28" i="6"/>
  <c r="T32" i="6" s="1"/>
  <c r="Q28" i="6"/>
  <c r="Q32" i="6" s="1"/>
  <c r="S28" i="6"/>
  <c r="S32" i="6" s="1"/>
  <c r="P28" i="6"/>
  <c r="P32" i="6" s="1"/>
  <c r="N9" i="8" s="1"/>
  <c r="G13" i="7"/>
  <c r="G17" i="7" s="1"/>
  <c r="G20" i="7" s="1"/>
  <c r="G21" i="7" s="1"/>
  <c r="H13" i="7"/>
  <c r="H17" i="7" s="1"/>
  <c r="H20" i="7" s="1"/>
  <c r="H21" i="7" s="1"/>
  <c r="H25" i="7" s="1"/>
  <c r="I13" i="7"/>
  <c r="I21" i="7" s="1" a="1"/>
  <c r="I21" i="7" s="1"/>
  <c r="I25" i="7" s="1"/>
  <c r="E13" i="7"/>
  <c r="E25" i="7" s="1"/>
  <c r="J13" i="7"/>
  <c r="J17" i="7" s="1"/>
  <c r="J20" i="7" s="1"/>
  <c r="J25" i="7" s="1"/>
  <c r="F13" i="7"/>
  <c r="F17" i="7" s="1"/>
  <c r="F20" i="7" s="1"/>
  <c r="F21" i="7" s="1"/>
  <c r="F25" i="7" s="1"/>
  <c r="J8" i="7"/>
  <c r="J8" i="11"/>
  <c r="E18" i="7"/>
  <c r="O9" i="1"/>
  <c r="B71" i="5"/>
  <c r="B72" i="5" s="1"/>
  <c r="O8" i="1"/>
  <c r="N8" i="8" l="1"/>
  <c r="G25" i="7"/>
  <c r="S8" i="1"/>
  <c r="E26" i="7"/>
  <c r="N5" i="1"/>
  <c r="F8" i="7" s="1"/>
  <c r="E17" i="7"/>
  <c r="S9" i="1" l="1"/>
  <c r="S10" i="1"/>
  <c r="O11" i="1"/>
  <c r="T11" i="1"/>
  <c r="S11" i="1" s="1"/>
  <c r="S11" i="8"/>
  <c r="N11" i="1"/>
  <c r="M12" i="1" l="1"/>
  <c r="M12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<sst xmlns="http://schemas.openxmlformats.org/spreadsheetml/2006/main" count="859" uniqueCount="151">
  <si>
    <t>HM</t>
  </si>
  <si>
    <t>P</t>
  </si>
  <si>
    <t>-</t>
  </si>
  <si>
    <r>
      <t>f</t>
    </r>
    <r>
      <rPr>
        <b/>
        <vertAlign val="subscript"/>
        <sz val="10"/>
        <rFont val="Arial"/>
        <family val="2"/>
      </rPr>
      <t>ck</t>
    </r>
  </si>
  <si>
    <t>HA</t>
  </si>
  <si>
    <t>HP</t>
  </si>
  <si>
    <t>I</t>
  </si>
  <si>
    <t>IIa</t>
  </si>
  <si>
    <t>IIb</t>
  </si>
  <si>
    <t>IIIa</t>
  </si>
  <si>
    <t>IIIb</t>
  </si>
  <si>
    <t>IIIc</t>
  </si>
  <si>
    <t>IV</t>
  </si>
  <si>
    <t>Qa</t>
  </si>
  <si>
    <t>Qb</t>
  </si>
  <si>
    <t>Qc</t>
  </si>
  <si>
    <t>H</t>
  </si>
  <si>
    <t>F</t>
  </si>
  <si>
    <t>E</t>
  </si>
  <si>
    <t>S</t>
  </si>
  <si>
    <t>B</t>
  </si>
  <si>
    <t>L</t>
  </si>
  <si>
    <r>
      <t>f</t>
    </r>
    <r>
      <rPr>
        <vertAlign val="subscript"/>
        <sz val="12"/>
        <color theme="1"/>
        <rFont val="Calibri"/>
        <family val="2"/>
        <scheme val="minor"/>
      </rPr>
      <t>ck</t>
    </r>
  </si>
  <si>
    <t>X0</t>
  </si>
  <si>
    <t>XC1</t>
  </si>
  <si>
    <t>XC2</t>
  </si>
  <si>
    <t>Húmedo, rara vez seco.</t>
  </si>
  <si>
    <t>XC3</t>
  </si>
  <si>
    <t>XC4</t>
  </si>
  <si>
    <t>Ciclos de humedad y sequedad.</t>
  </si>
  <si>
    <t>XD1</t>
  </si>
  <si>
    <t>Moderadamente húmedo.</t>
  </si>
  <si>
    <t>XD2</t>
  </si>
  <si>
    <t>XD3</t>
  </si>
  <si>
    <t>XS1</t>
  </si>
  <si>
    <t>Exposición al aire que transporta sales marina, pero sin contacto directo con el agua de mar.</t>
  </si>
  <si>
    <t>XS2</t>
  </si>
  <si>
    <t>Sumergido permanentemente.</t>
  </si>
  <si>
    <t>XS3</t>
  </si>
  <si>
    <t>Zonas sometidas a la marea, a la salpicadura y a la espuma de mar.</t>
  </si>
  <si>
    <t>XF1</t>
  </si>
  <si>
    <t>XF2</t>
  </si>
  <si>
    <t>XF3</t>
  </si>
  <si>
    <t>XF4</t>
  </si>
  <si>
    <t>XA1</t>
  </si>
  <si>
    <t>XA2</t>
  </si>
  <si>
    <t>XA3</t>
  </si>
  <si>
    <t>XM1</t>
  </si>
  <si>
    <t>XM2</t>
  </si>
  <si>
    <t>XM3</t>
  </si>
  <si>
    <t>Elementos de hormigón en masa.</t>
  </si>
  <si>
    <t>Ambiente químico altamente agresivo.</t>
  </si>
  <si>
    <t>Ambiente químico débilmente agresivo.</t>
  </si>
  <si>
    <t>Sin sales fundentes, saturación de agua moderada.</t>
  </si>
  <si>
    <t>Sin sales fundentes, saturación de agua alta.</t>
  </si>
  <si>
    <t>Con sales fundentes, saturación de agua moderada.</t>
  </si>
  <si>
    <t>Con sales fundentes, saturación de agua alta.</t>
  </si>
  <si>
    <t>máx. a/c</t>
  </si>
  <si>
    <t>mín. cemento</t>
  </si>
  <si>
    <t>Elementos sometidos a erosión/abrasión moderada.</t>
  </si>
  <si>
    <t>Elementos sometidos a erosión/abrasión intensa.</t>
  </si>
  <si>
    <t>Elementos sometidos a erosión/abrasión extrema.</t>
  </si>
  <si>
    <t xml:space="preserve">fck. </t>
  </si>
  <si>
    <t>Sin riesgo de ataque por corrosión en la armadura.</t>
  </si>
  <si>
    <t>Corrosión de la armadura inducida por carbonatación.</t>
  </si>
  <si>
    <t xml:space="preserve">Corrosión de la armadura inducida por cloruros de origen distinto al marino. </t>
  </si>
  <si>
    <t>Ataque químico al hormigón.</t>
  </si>
  <si>
    <t>TIPIFICACIÓN POR PROPIEDADES EHE-08</t>
  </si>
  <si>
    <t>Corrosión de la armadura inducida por cloruros procedentes de agua de mar.</t>
  </si>
  <si>
    <t>Ataque al hormigón por ciclos de hielo-deshielo.</t>
  </si>
  <si>
    <t>Deterioro del hormigón por erosión.</t>
  </si>
  <si>
    <t>TIPIFICACIÓN POR PROPIEDADES CodE</t>
  </si>
  <si>
    <t>TIPO</t>
  </si>
  <si>
    <t>C</t>
  </si>
  <si>
    <t>TM</t>
  </si>
  <si>
    <t>Clase general de exposición</t>
  </si>
  <si>
    <t>Clase específica de exposición</t>
  </si>
  <si>
    <r>
      <t>f</t>
    </r>
    <r>
      <rPr>
        <vertAlign val="subscript"/>
        <sz val="14"/>
        <color theme="1"/>
        <rFont val="Calibri"/>
        <family val="2"/>
        <scheme val="minor"/>
      </rPr>
      <t>ck</t>
    </r>
  </si>
  <si>
    <t>Hormigón armado o pretensado en ambiente muy seco (HR&lt;45%)</t>
  </si>
  <si>
    <t>Hormigón armado o pretensado en ambiente seco (HR&lt;65%)</t>
  </si>
  <si>
    <t>Hormigón armado o pretensado en ambiente permanentemente húmedo.</t>
  </si>
  <si>
    <t>Hormigón armado o pretensado en ambiente húmedo, rara vez seco.</t>
  </si>
  <si>
    <t>Hormigón armado o pretensado en ambiente de humedad moderada (HR&gt;65%)</t>
  </si>
  <si>
    <t>Hormigón armado o pretensado sometido a la acción del agua de lluvia.</t>
  </si>
  <si>
    <t>Hormigón armado o pretensado sometido a ciclos de humedad y sequedad.</t>
  </si>
  <si>
    <t>CALCULOS:</t>
  </si>
  <si>
    <t>fck EHE-08</t>
  </si>
  <si>
    <t>Determinación resistencia superior</t>
  </si>
  <si>
    <t>Superior</t>
  </si>
  <si>
    <t>Fck CodE</t>
  </si>
  <si>
    <t>Opciones relativas a las clases de exposición:</t>
  </si>
  <si>
    <t>Ambiente químico moderadamente agresivo.</t>
  </si>
  <si>
    <t>Determinación ambiente repetido</t>
  </si>
  <si>
    <t>Clase Esp.1</t>
  </si>
  <si>
    <t>Clase Esp. 2</t>
  </si>
  <si>
    <t>Error?:</t>
  </si>
  <si>
    <t>Clases de exposición</t>
  </si>
  <si>
    <t>ESPECIFICACIONES</t>
  </si>
  <si>
    <t>REQUIERE ENSAYO</t>
  </si>
  <si>
    <t>FICHA TÉCNICA</t>
  </si>
  <si>
    <t>PENET. MAX. (mm.)</t>
  </si>
  <si>
    <t>PENET. MEDIA (mm.)</t>
  </si>
  <si>
    <t>AIRE OCLUIDO</t>
  </si>
  <si>
    <t>SI</t>
  </si>
  <si>
    <t>≤ 50</t>
  </si>
  <si>
    <t>≤ 30</t>
  </si>
  <si>
    <t>≤ 20</t>
  </si>
  <si>
    <t>≥4,50</t>
  </si>
  <si>
    <t xml:space="preserve">CEMENTO CON CARACTERÍSTICA ADICIONAL            </t>
  </si>
  <si>
    <r>
      <t>ION CLORURO TOTAL</t>
    </r>
    <r>
      <rPr>
        <sz val="8"/>
        <color theme="1"/>
        <rFont val="Calibri"/>
        <family val="2"/>
        <scheme val="minor"/>
      </rPr>
      <t xml:space="preserve">              </t>
    </r>
  </si>
  <si>
    <t>%PESO DEL CEMENTO</t>
  </si>
  <si>
    <t>CLASE DE EXPOSICIÓN AMBIENTAL</t>
  </si>
  <si>
    <t>TIPO DE HORMIGÓN</t>
  </si>
  <si>
    <t>(mm.)</t>
  </si>
  <si>
    <t>%</t>
  </si>
  <si>
    <t xml:space="preserve">PENET. MAX. </t>
  </si>
  <si>
    <t xml:space="preserve">PENET. MEDIA </t>
  </si>
  <si>
    <r>
      <t>ION CLORURO TOTAL</t>
    </r>
    <r>
      <rPr>
        <sz val="8"/>
        <color theme="1"/>
        <rFont val="Calibri"/>
        <family val="2"/>
        <scheme val="minor"/>
      </rPr>
      <t xml:space="preserve">               </t>
    </r>
  </si>
  <si>
    <t xml:space="preserve"> (% PESO DEL CEMENTO)</t>
  </si>
  <si>
    <t>(MR, SR o SRC)</t>
  </si>
  <si>
    <t>≤</t>
  </si>
  <si>
    <t>≥</t>
  </si>
  <si>
    <t>MR</t>
  </si>
  <si>
    <t>AIRE OCLUIDO (%)</t>
  </si>
  <si>
    <t>Penetración máxima (mm.)</t>
  </si>
  <si>
    <t>Aire ocluido (%)</t>
  </si>
  <si>
    <t>DOSIFICACIÓN</t>
  </si>
  <si>
    <t>SR o SRC</t>
  </si>
  <si>
    <t>MRMAR</t>
  </si>
  <si>
    <r>
      <t>f</t>
    </r>
    <r>
      <rPr>
        <b/>
        <vertAlign val="subscript"/>
        <sz val="12"/>
        <rFont val="Arial"/>
        <family val="2"/>
      </rPr>
      <t>ck</t>
    </r>
  </si>
  <si>
    <t>Clase 1</t>
  </si>
  <si>
    <t>Clase 2</t>
  </si>
  <si>
    <t>Clase 3</t>
  </si>
  <si>
    <t>fck CodE</t>
  </si>
  <si>
    <t>Compatible</t>
  </si>
  <si>
    <t>PRESCRIPCIONES CodE a EHE</t>
  </si>
  <si>
    <t>a/c</t>
  </si>
  <si>
    <t>cemento</t>
  </si>
  <si>
    <t>EHE a CodE</t>
  </si>
  <si>
    <t>CodE a EHE</t>
  </si>
  <si>
    <t>EHE-08</t>
  </si>
  <si>
    <t>CodE</t>
  </si>
  <si>
    <t>Máx. relación a/c</t>
  </si>
  <si>
    <t>Mín. contenido cemento</t>
  </si>
  <si>
    <t>PRESCRIPCIONES EHE a CodE</t>
  </si>
  <si>
    <t>SR/SRC</t>
  </si>
  <si>
    <t xml:space="preserve">CARACTERÍSTICA ADICIONAL DEL CEMENTO </t>
  </si>
  <si>
    <r>
      <rPr>
        <b/>
        <sz val="11"/>
        <rFont val="Calibri"/>
        <family val="2"/>
        <scheme val="minor"/>
      </rPr>
      <t>Ion cloruro</t>
    </r>
    <r>
      <rPr>
        <b/>
        <sz val="9"/>
        <rFont val="Calibri"/>
        <family val="2"/>
        <scheme val="minor"/>
      </rPr>
      <t xml:space="preserve"> (</t>
    </r>
    <r>
      <rPr>
        <b/>
        <sz val="8"/>
        <rFont val="Calibri"/>
        <family val="2"/>
        <scheme val="minor"/>
      </rPr>
      <t>%peso del cemento</t>
    </r>
    <r>
      <rPr>
        <b/>
        <sz val="9"/>
        <rFont val="Calibri"/>
        <family val="2"/>
        <scheme val="minor"/>
      </rPr>
      <t>)</t>
    </r>
  </si>
  <si>
    <t>DURABILIDAD</t>
  </si>
  <si>
    <t>Penetración media (mm.)</t>
  </si>
  <si>
    <t>ANEFHOP,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</si>
</sst>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1"/>
      <color rgb="FF000000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65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 wrapText="1" readingOrder="1"/>
    </xf>
    <xf numFmtId="0" fontId="0" fillId="6" borderId="31" xfId="0" applyFill="1" applyBorder="1" applyAlignment="1">
      <alignment horizontal="center" vertical="center"/>
    </xf>
    <xf numFmtId="2" fontId="0" fillId="6" borderId="5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2" fontId="0" fillId="6" borderId="42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4" xfId="0" applyFill="1" applyBorder="1"/>
    <xf numFmtId="0" fontId="5" fillId="4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 wrapText="1" readingOrder="1"/>
    </xf>
    <xf numFmtId="0" fontId="0" fillId="6" borderId="9" xfId="0" applyFill="1" applyBorder="1" applyAlignment="1">
      <alignment horizontal="center" vertical="center"/>
    </xf>
    <xf numFmtId="2" fontId="0" fillId="6" borderId="51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2" fontId="0" fillId="6" borderId="44" xfId="0" applyNumberForma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vertical="center" wrapText="1" readingOrder="1"/>
    </xf>
    <xf numFmtId="0" fontId="0" fillId="6" borderId="32" xfId="0" applyFill="1" applyBorder="1" applyAlignment="1">
      <alignment horizontal="center" vertical="center"/>
    </xf>
    <xf numFmtId="2" fontId="0" fillId="6" borderId="40" xfId="0" applyNumberForma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2" fontId="0" fillId="6" borderId="46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2" fontId="0" fillId="6" borderId="57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2" fontId="0" fillId="6" borderId="47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0" fillId="6" borderId="15" xfId="0" applyFont="1" applyFill="1" applyBorder="1" applyAlignment="1">
      <alignment horizontal="justify" vertical="center" wrapText="1" readingOrder="1"/>
    </xf>
    <xf numFmtId="0" fontId="8" fillId="6" borderId="18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 readingOrder="1"/>
    </xf>
    <xf numFmtId="0" fontId="0" fillId="6" borderId="8" xfId="0" applyFill="1" applyBorder="1" applyAlignment="1">
      <alignment horizontal="center" vertical="center"/>
    </xf>
    <xf numFmtId="2" fontId="0" fillId="6" borderId="5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justify" vertical="center" wrapText="1" readingOrder="1"/>
    </xf>
    <xf numFmtId="0" fontId="8" fillId="6" borderId="2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 readingOrder="1"/>
    </xf>
    <xf numFmtId="0" fontId="8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 wrapText="1" readingOrder="1"/>
    </xf>
    <xf numFmtId="0" fontId="8" fillId="6" borderId="1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justify" vertical="center" wrapText="1" readingOrder="1"/>
    </xf>
    <xf numFmtId="0" fontId="0" fillId="5" borderId="61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2" borderId="0" xfId="0" applyFill="1"/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0" fillId="7" borderId="26" xfId="0" applyFill="1" applyBorder="1" applyAlignment="1">
      <alignment vertical="center"/>
    </xf>
    <xf numFmtId="0" fontId="0" fillId="7" borderId="31" xfId="0" applyFill="1" applyBorder="1" applyAlignment="1">
      <alignment horizontal="center" vertical="center"/>
    </xf>
    <xf numFmtId="2" fontId="0" fillId="7" borderId="57" xfId="0" applyNumberForma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2" fontId="0" fillId="7" borderId="47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12" borderId="0" xfId="0" applyFill="1"/>
    <xf numFmtId="0" fontId="8" fillId="7" borderId="27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2" fontId="0" fillId="7" borderId="51" xfId="0" applyNumberForma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2" fontId="0" fillId="7" borderId="44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/>
    </xf>
    <xf numFmtId="0" fontId="8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 wrapText="1" readingOrder="1"/>
    </xf>
    <xf numFmtId="2" fontId="0" fillId="7" borderId="40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2" fontId="0" fillId="7" borderId="46" xfId="0" applyNumberForma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0" fillId="5" borderId="62" xfId="0" applyFill="1" applyBorder="1" applyAlignment="1">
      <alignment horizontal="center" vertical="center"/>
    </xf>
    <xf numFmtId="0" fontId="0" fillId="7" borderId="29" xfId="0" applyFill="1" applyBorder="1" applyAlignment="1">
      <alignment vertical="center"/>
    </xf>
    <xf numFmtId="2" fontId="0" fillId="7" borderId="5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2" fontId="0" fillId="7" borderId="49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2" borderId="35" xfId="0" applyFill="1" applyBorder="1"/>
    <xf numFmtId="2" fontId="9" fillId="6" borderId="70" xfId="0" applyNumberFormat="1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2" fontId="9" fillId="6" borderId="76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2" fontId="9" fillId="7" borderId="51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2" fontId="9" fillId="11" borderId="73" xfId="0" applyNumberFormat="1" applyFont="1" applyFill="1" applyBorder="1" applyAlignment="1">
      <alignment horizontal="center" vertical="center"/>
    </xf>
    <xf numFmtId="0" fontId="9" fillId="11" borderId="74" xfId="0" applyFont="1" applyFill="1" applyBorder="1" applyAlignment="1">
      <alignment horizontal="center" vertical="center"/>
    </xf>
    <xf numFmtId="0" fontId="9" fillId="11" borderId="75" xfId="0" applyFont="1" applyFill="1" applyBorder="1" applyAlignment="1">
      <alignment horizontal="center" vertical="center"/>
    </xf>
    <xf numFmtId="2" fontId="9" fillId="11" borderId="77" xfId="0" applyNumberFormat="1" applyFont="1" applyFill="1" applyBorder="1" applyAlignment="1">
      <alignment horizontal="center" vertical="center"/>
    </xf>
    <xf numFmtId="2" fontId="2" fillId="8" borderId="53" xfId="0" applyNumberFormat="1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1" xfId="0" applyBorder="1"/>
    <xf numFmtId="0" fontId="0" fillId="13" borderId="0" xfId="0" applyFill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13" borderId="36" xfId="0" applyFill="1" applyBorder="1"/>
    <xf numFmtId="0" fontId="0" fillId="13" borderId="14" xfId="0" applyFill="1" applyBorder="1"/>
    <xf numFmtId="0" fontId="0" fillId="0" borderId="36" xfId="0" applyBorder="1"/>
    <xf numFmtId="0" fontId="0" fillId="0" borderId="14" xfId="0" applyBorder="1"/>
    <xf numFmtId="0" fontId="0" fillId="0" borderId="78" xfId="0" applyBorder="1"/>
    <xf numFmtId="0" fontId="0" fillId="0" borderId="6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6" fillId="2" borderId="2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 readingOrder="1"/>
    </xf>
    <xf numFmtId="0" fontId="21" fillId="5" borderId="15" xfId="0" applyFont="1" applyFill="1" applyBorder="1" applyAlignment="1">
      <alignment horizontal="center" vertical="center"/>
    </xf>
    <xf numFmtId="10" fontId="21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2" fillId="7" borderId="15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15" xfId="0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0" fillId="7" borderId="15" xfId="0" applyFill="1" applyBorder="1"/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6" borderId="26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2" fontId="9" fillId="6" borderId="57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vertical="center" wrapText="1" readingOrder="1"/>
    </xf>
    <xf numFmtId="0" fontId="31" fillId="6" borderId="15" xfId="0" applyFont="1" applyFill="1" applyBorder="1" applyAlignment="1">
      <alignment vertical="center" wrapText="1" readingOrder="1"/>
    </xf>
    <xf numFmtId="0" fontId="31" fillId="6" borderId="2" xfId="0" applyFont="1" applyFill="1" applyBorder="1" applyAlignment="1">
      <alignment horizontal="center" vertical="center" wrapText="1" readingOrder="1"/>
    </xf>
    <xf numFmtId="0" fontId="31" fillId="6" borderId="29" xfId="0" applyFont="1" applyFill="1" applyBorder="1" applyAlignment="1">
      <alignment horizontal="center" vertical="center" wrapText="1" readingOrder="1"/>
    </xf>
    <xf numFmtId="0" fontId="31" fillId="6" borderId="6" xfId="0" applyFont="1" applyFill="1" applyBorder="1" applyAlignment="1">
      <alignment vertical="center" wrapText="1" readingOrder="1"/>
    </xf>
    <xf numFmtId="0" fontId="1" fillId="5" borderId="3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9" borderId="83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 wrapText="1" readingOrder="1"/>
    </xf>
    <xf numFmtId="0" fontId="25" fillId="6" borderId="9" xfId="0" applyFont="1" applyFill="1" applyBorder="1" applyAlignment="1">
      <alignment horizontal="center" vertical="center" wrapText="1" readingOrder="1"/>
    </xf>
    <xf numFmtId="0" fontId="10" fillId="6" borderId="8" xfId="0" applyFont="1" applyFill="1" applyBorder="1" applyAlignment="1">
      <alignment horizontal="center" vertical="center" wrapText="1" readingOrder="1"/>
    </xf>
    <xf numFmtId="0" fontId="10" fillId="6" borderId="32" xfId="0" applyFont="1" applyFill="1" applyBorder="1" applyAlignment="1">
      <alignment horizontal="center" vertical="center" wrapText="1" readingOrder="1"/>
    </xf>
    <xf numFmtId="0" fontId="25" fillId="6" borderId="5" xfId="0" applyFont="1" applyFill="1" applyBorder="1" applyAlignment="1">
      <alignment horizontal="center" vertical="center" wrapText="1" readingOrder="1"/>
    </xf>
    <xf numFmtId="0" fontId="23" fillId="18" borderId="15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2" fontId="0" fillId="12" borderId="15" xfId="0" applyNumberFormat="1" applyFill="1" applyBorder="1" applyAlignment="1">
      <alignment horizontal="center" vertical="center"/>
    </xf>
    <xf numFmtId="0" fontId="33" fillId="12" borderId="15" xfId="0" applyFont="1" applyFill="1" applyBorder="1" applyAlignment="1">
      <alignment horizontal="center" vertical="center" wrapText="1" readingOrder="1"/>
    </xf>
    <xf numFmtId="0" fontId="11" fillId="19" borderId="15" xfId="0" applyFont="1" applyFill="1" applyBorder="1" applyAlignment="1">
      <alignment horizontal="center" vertical="center"/>
    </xf>
    <xf numFmtId="2" fontId="34" fillId="16" borderId="53" xfId="0" applyNumberFormat="1" applyFont="1" applyFill="1" applyBorder="1" applyAlignment="1">
      <alignment horizontal="center" vertical="center"/>
    </xf>
    <xf numFmtId="0" fontId="34" fillId="16" borderId="54" xfId="0" applyFont="1" applyFill="1" applyBorder="1" applyAlignment="1">
      <alignment horizontal="center" vertical="center"/>
    </xf>
    <xf numFmtId="0" fontId="34" fillId="16" borderId="53" xfId="0" applyFont="1" applyFill="1" applyBorder="1" applyAlignment="1">
      <alignment horizontal="center" vertical="center"/>
    </xf>
    <xf numFmtId="0" fontId="0" fillId="14" borderId="13" xfId="0" applyFill="1" applyBorder="1"/>
    <xf numFmtId="0" fontId="0" fillId="14" borderId="13" xfId="0" applyFill="1" applyBorder="1" applyAlignment="1">
      <alignment horizontal="center"/>
    </xf>
    <xf numFmtId="0" fontId="0" fillId="14" borderId="22" xfId="0" applyFill="1" applyBorder="1"/>
    <xf numFmtId="0" fontId="0" fillId="14" borderId="36" xfId="0" applyFill="1" applyBorder="1"/>
    <xf numFmtId="0" fontId="0" fillId="14" borderId="0" xfId="0" applyFill="1"/>
    <xf numFmtId="0" fontId="0" fillId="14" borderId="0" xfId="0" applyFill="1" applyAlignment="1">
      <alignment vertical="center"/>
    </xf>
    <xf numFmtId="0" fontId="0" fillId="14" borderId="14" xfId="0" applyFill="1" applyBorder="1"/>
    <xf numFmtId="0" fontId="2" fillId="12" borderId="27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6" fillId="18" borderId="1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left"/>
    </xf>
    <xf numFmtId="0" fontId="0" fillId="14" borderId="0" xfId="0" applyFill="1" applyAlignment="1">
      <alignment horizontal="center"/>
    </xf>
    <xf numFmtId="0" fontId="26" fillId="17" borderId="21" xfId="0" applyFont="1" applyFill="1" applyBorder="1" applyAlignment="1">
      <alignment horizontal="center" vertical="center"/>
    </xf>
    <xf numFmtId="0" fontId="26" fillId="19" borderId="13" xfId="0" applyFont="1" applyFill="1" applyBorder="1" applyAlignment="1">
      <alignment horizontal="center" vertical="center"/>
    </xf>
    <xf numFmtId="0" fontId="26" fillId="17" borderId="22" xfId="0" applyFont="1" applyFill="1" applyBorder="1" applyAlignment="1">
      <alignment horizontal="center" vertical="center"/>
    </xf>
    <xf numFmtId="0" fontId="27" fillId="18" borderId="36" xfId="0" applyFont="1" applyFill="1" applyBorder="1" applyAlignment="1">
      <alignment vertical="center"/>
    </xf>
    <xf numFmtId="2" fontId="35" fillId="12" borderId="0" xfId="0" applyNumberFormat="1" applyFont="1" applyFill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" fontId="35" fillId="12" borderId="0" xfId="0" applyNumberFormat="1" applyFont="1" applyFill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 vertical="center"/>
    </xf>
    <xf numFmtId="0" fontId="6" fillId="18" borderId="81" xfId="0" applyFont="1" applyFill="1" applyBorder="1" applyAlignment="1">
      <alignment horizontal="center" vertical="center"/>
    </xf>
    <xf numFmtId="0" fontId="6" fillId="18" borderId="60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center"/>
    </xf>
    <xf numFmtId="0" fontId="0" fillId="14" borderId="36" xfId="0" applyFill="1" applyBorder="1" applyAlignment="1">
      <alignment horizontal="center"/>
    </xf>
    <xf numFmtId="0" fontId="0" fillId="14" borderId="33" xfId="0" applyFill="1" applyBorder="1" applyAlignment="1">
      <alignment horizontal="right"/>
    </xf>
    <xf numFmtId="0" fontId="0" fillId="14" borderId="34" xfId="0" applyFill="1" applyBorder="1" applyAlignment="1">
      <alignment horizontal="right"/>
    </xf>
    <xf numFmtId="0" fontId="0" fillId="14" borderId="35" xfId="0" applyFill="1" applyBorder="1" applyAlignment="1">
      <alignment horizontal="right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18" borderId="27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8" borderId="0" xfId="0" applyFont="1" applyFill="1" applyAlignment="1">
      <alignment horizontal="center" vertical="center"/>
    </xf>
    <xf numFmtId="0" fontId="6" fillId="18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14" borderId="34" xfId="0" applyFill="1" applyBorder="1"/>
    <xf numFmtId="0" fontId="35" fillId="15" borderId="33" xfId="0" applyFont="1" applyFill="1" applyBorder="1" applyAlignment="1">
      <alignment horizontal="left"/>
    </xf>
    <xf numFmtId="0" fontId="35" fillId="15" borderId="34" xfId="0" applyFont="1" applyFill="1" applyBorder="1" applyAlignment="1">
      <alignment horizontal="left"/>
    </xf>
    <xf numFmtId="0" fontId="35" fillId="15" borderId="35" xfId="0" applyFont="1" applyFill="1" applyBorder="1" applyAlignment="1">
      <alignment horizontal="left"/>
    </xf>
    <xf numFmtId="0" fontId="11" fillId="10" borderId="21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 vertical="center"/>
    </xf>
    <xf numFmtId="0" fontId="0" fillId="12" borderId="15" xfId="0" applyFill="1" applyBorder="1" applyAlignment="1">
      <alignment horizontal="left" vertical="center"/>
    </xf>
    <xf numFmtId="0" fontId="12" fillId="12" borderId="15" xfId="0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left"/>
    </xf>
    <xf numFmtId="0" fontId="0" fillId="14" borderId="0" xfId="0" applyFill="1"/>
    <xf numFmtId="0" fontId="11" fillId="17" borderId="21" xfId="0" applyFont="1" applyFill="1" applyBorder="1" applyAlignment="1">
      <alignment horizontal="center"/>
    </xf>
    <xf numFmtId="0" fontId="11" fillId="17" borderId="13" xfId="0" applyFont="1" applyFill="1" applyBorder="1" applyAlignment="1">
      <alignment horizontal="center"/>
    </xf>
    <xf numFmtId="0" fontId="11" fillId="17" borderId="22" xfId="0" applyFont="1" applyFill="1" applyBorder="1" applyAlignment="1">
      <alignment horizontal="center"/>
    </xf>
    <xf numFmtId="0" fontId="15" fillId="18" borderId="9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59" xfId="0" applyFon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14" borderId="0" xfId="0" applyFont="1" applyFill="1" applyAlignment="1">
      <alignment vertical="top"/>
    </xf>
    <xf numFmtId="0" fontId="0" fillId="14" borderId="21" xfId="0" applyFill="1" applyBorder="1"/>
    <xf numFmtId="0" fontId="0" fillId="14" borderId="13" xfId="0" applyFill="1" applyBorder="1"/>
    <xf numFmtId="0" fontId="0" fillId="14" borderId="36" xfId="0" applyFill="1" applyBorder="1"/>
    <xf numFmtId="0" fontId="15" fillId="12" borderId="9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59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left" vertical="center"/>
    </xf>
    <xf numFmtId="0" fontId="22" fillId="5" borderId="34" xfId="0" applyFont="1" applyFill="1" applyBorder="1" applyAlignment="1">
      <alignment horizontal="left" vertical="center"/>
    </xf>
    <xf numFmtId="0" fontId="22" fillId="5" borderId="35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6" fillId="17" borderId="88" xfId="0" applyFont="1" applyFill="1" applyBorder="1" applyAlignment="1">
      <alignment horizontal="center" vertical="center"/>
    </xf>
    <xf numFmtId="0" fontId="26" fillId="17" borderId="86" xfId="0" applyFont="1" applyFill="1" applyBorder="1" applyAlignment="1">
      <alignment horizontal="center" vertical="center"/>
    </xf>
    <xf numFmtId="0" fontId="26" fillId="17" borderId="87" xfId="0" applyFont="1" applyFill="1" applyBorder="1" applyAlignment="1">
      <alignment horizontal="center" vertical="center"/>
    </xf>
    <xf numFmtId="0" fontId="27" fillId="18" borderId="0" xfId="0" applyFont="1" applyFill="1" applyAlignment="1">
      <alignment horizontal="left" vertical="center"/>
    </xf>
    <xf numFmtId="0" fontId="18" fillId="18" borderId="89" xfId="0" applyFont="1" applyFill="1" applyBorder="1" applyAlignment="1">
      <alignment horizontal="center" vertical="center" wrapText="1"/>
    </xf>
    <xf numFmtId="0" fontId="18" fillId="18" borderId="33" xfId="0" applyFont="1" applyFill="1" applyBorder="1" applyAlignment="1">
      <alignment horizontal="center" vertical="center" wrapText="1"/>
    </xf>
    <xf numFmtId="0" fontId="36" fillId="18" borderId="34" xfId="0" applyFont="1" applyFill="1" applyBorder="1" applyAlignment="1">
      <alignment horizontal="left" vertical="center"/>
    </xf>
    <xf numFmtId="0" fontId="35" fillId="5" borderId="34" xfId="0" applyFont="1" applyFill="1" applyBorder="1" applyAlignment="1">
      <alignment horizontal="left" vertical="center"/>
    </xf>
    <xf numFmtId="0" fontId="35" fillId="5" borderId="35" xfId="0" applyFont="1" applyFill="1" applyBorder="1" applyAlignment="1">
      <alignment horizontal="left" vertical="center"/>
    </xf>
    <xf numFmtId="0" fontId="35" fillId="15" borderId="36" xfId="0" applyFont="1" applyFill="1" applyBorder="1" applyAlignment="1">
      <alignment vertical="center" wrapText="1"/>
    </xf>
    <xf numFmtId="0" fontId="35" fillId="15" borderId="0" xfId="0" applyFont="1" applyFill="1" applyAlignment="1">
      <alignment vertical="center" wrapText="1"/>
    </xf>
    <xf numFmtId="0" fontId="35" fillId="15" borderId="14" xfId="0" applyFont="1" applyFill="1" applyBorder="1" applyAlignment="1">
      <alignment vertical="center" wrapText="1"/>
    </xf>
    <xf numFmtId="0" fontId="35" fillId="15" borderId="21" xfId="0" applyFont="1" applyFill="1" applyBorder="1" applyAlignment="1">
      <alignment vertical="center" wrapText="1"/>
    </xf>
    <xf numFmtId="0" fontId="35" fillId="15" borderId="13" xfId="0" applyFont="1" applyFill="1" applyBorder="1" applyAlignment="1">
      <alignment vertical="center" wrapText="1"/>
    </xf>
    <xf numFmtId="0" fontId="35" fillId="15" borderId="22" xfId="0" applyFont="1" applyFill="1" applyBorder="1" applyAlignment="1">
      <alignment vertical="center" wrapText="1"/>
    </xf>
    <xf numFmtId="0" fontId="12" fillId="18" borderId="15" xfId="0" applyFont="1" applyFill="1" applyBorder="1" applyAlignment="1">
      <alignment horizontal="left" vertical="center" wrapText="1"/>
    </xf>
    <xf numFmtId="0" fontId="0" fillId="18" borderId="15" xfId="0" applyFill="1" applyBorder="1" applyAlignment="1">
      <alignment horizontal="left" vertical="center"/>
    </xf>
    <xf numFmtId="0" fontId="18" fillId="18" borderId="36" xfId="0" applyFont="1" applyFill="1" applyBorder="1" applyAlignment="1">
      <alignment horizontal="center" vertical="center" wrapText="1"/>
    </xf>
    <xf numFmtId="0" fontId="27" fillId="18" borderId="36" xfId="0" applyFont="1" applyFill="1" applyBorder="1" applyAlignment="1">
      <alignment horizontal="left" vertical="center"/>
    </xf>
    <xf numFmtId="0" fontId="0" fillId="18" borderId="15" xfId="0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23" fillId="18" borderId="15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 vertical="center" wrapText="1"/>
    </xf>
    <xf numFmtId="0" fontId="23" fillId="18" borderId="8" xfId="0" applyFont="1" applyFill="1" applyBorder="1" applyAlignment="1">
      <alignment horizontal="center" vertical="center" wrapText="1"/>
    </xf>
    <xf numFmtId="0" fontId="23" fillId="18" borderId="7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18" borderId="5" xfId="0" applyFont="1" applyFill="1" applyBorder="1" applyAlignment="1">
      <alignment horizontal="center" vertical="center" wrapText="1"/>
    </xf>
    <xf numFmtId="0" fontId="23" fillId="18" borderId="8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32" fillId="16" borderId="0" xfId="0" applyFont="1" applyFill="1" applyAlignment="1">
      <alignment horizontal="center" vertical="center"/>
    </xf>
    <xf numFmtId="0" fontId="23" fillId="18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/>
    </xf>
    <xf numFmtId="0" fontId="1" fillId="6" borderId="7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80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0" fontId="2" fillId="8" borderId="84" xfId="0" applyFont="1" applyFill="1" applyBorder="1" applyAlignment="1">
      <alignment horizontal="center" vertical="center"/>
    </xf>
    <xf numFmtId="0" fontId="2" fillId="8" borderId="85" xfId="0" applyFont="1" applyFill="1" applyBorder="1" applyAlignment="1">
      <alignment horizontal="center" vertical="center"/>
    </xf>
    <xf numFmtId="0" fontId="2" fillId="8" borderId="7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'CÁLCULO TRADUCTOR EHE-CodE'!$S$5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'CÁLCULO TRADUCTOR EHE-CodE'!$T$5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'CÁLCULO TRADUCTOR EHE-CodE'!$U$5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'CÁLCULO TRADUCTOR CodE-EHE'!$U$5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'CÁLCULO TRADUCTOR CodE-EHE'!$T$5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'CÁLCULO TRADUCTOR CodE-EHE'!$V$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6.xml"/><Relationship Id="rId39" Type="http://schemas.openxmlformats.org/officeDocument/2006/relationships/customXml" Target="../ink/ink19.xml"/><Relationship Id="rId21" Type="http://schemas.openxmlformats.org/officeDocument/2006/relationships/customXml" Target="../ink/ink2.xml"/><Relationship Id="rId34" Type="http://schemas.openxmlformats.org/officeDocument/2006/relationships/customXml" Target="../ink/ink14.xml"/><Relationship Id="rId42" Type="http://schemas.openxmlformats.org/officeDocument/2006/relationships/customXml" Target="../ink/ink22.xml"/><Relationship Id="rId25" Type="http://schemas.openxmlformats.org/officeDocument/2006/relationships/customXml" Target="../ink/ink5.xml"/><Relationship Id="rId33" Type="http://schemas.openxmlformats.org/officeDocument/2006/relationships/customXml" Target="../ink/ink13.xml"/><Relationship Id="rId38" Type="http://schemas.openxmlformats.org/officeDocument/2006/relationships/customXml" Target="../ink/ink18.xml"/><Relationship Id="rId20" Type="http://schemas.openxmlformats.org/officeDocument/2006/relationships/image" Target="NULL"/><Relationship Id="rId29" Type="http://schemas.openxmlformats.org/officeDocument/2006/relationships/customXml" Target="../ink/ink9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24" Type="http://schemas.openxmlformats.org/officeDocument/2006/relationships/customXml" Target="../ink/ink4.xml"/><Relationship Id="rId32" Type="http://schemas.openxmlformats.org/officeDocument/2006/relationships/customXml" Target="../ink/ink12.xml"/><Relationship Id="rId37" Type="http://schemas.openxmlformats.org/officeDocument/2006/relationships/customXml" Target="../ink/ink17.xml"/><Relationship Id="rId40" Type="http://schemas.openxmlformats.org/officeDocument/2006/relationships/customXml" Target="../ink/ink20.xml"/><Relationship Id="rId45" Type="http://schemas.openxmlformats.org/officeDocument/2006/relationships/image" Target="../media/image1.jpeg"/><Relationship Id="rId23" Type="http://schemas.openxmlformats.org/officeDocument/2006/relationships/customXml" Target="../ink/ink3.xml"/><Relationship Id="rId28" Type="http://schemas.openxmlformats.org/officeDocument/2006/relationships/customXml" Target="../ink/ink8.xml"/><Relationship Id="rId36" Type="http://schemas.openxmlformats.org/officeDocument/2006/relationships/customXml" Target="../ink/ink16.xml"/><Relationship Id="rId31" Type="http://schemas.openxmlformats.org/officeDocument/2006/relationships/customXml" Target="../ink/ink11.xml"/><Relationship Id="rId44" Type="http://schemas.openxmlformats.org/officeDocument/2006/relationships/customXml" Target="../ink/ink24.xml"/><Relationship Id="rId22" Type="http://schemas.openxmlformats.org/officeDocument/2006/relationships/image" Target="NULL"/><Relationship Id="rId27" Type="http://schemas.openxmlformats.org/officeDocument/2006/relationships/customXml" Target="../ink/ink7.xml"/><Relationship Id="rId30" Type="http://schemas.openxmlformats.org/officeDocument/2006/relationships/customXml" Target="../ink/ink10.xml"/><Relationship Id="rId35" Type="http://schemas.openxmlformats.org/officeDocument/2006/relationships/customXml" Target="../ink/ink15.xml"/><Relationship Id="rId43" Type="http://schemas.openxmlformats.org/officeDocument/2006/relationships/customXml" Target="../ink/ink23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ustomXml" Target="../ink/ink30.xml"/><Relationship Id="rId39" Type="http://schemas.openxmlformats.org/officeDocument/2006/relationships/customXml" Target="../ink/ink43.xml"/><Relationship Id="rId21" Type="http://schemas.openxmlformats.org/officeDocument/2006/relationships/customXml" Target="../ink/ink26.xml"/><Relationship Id="rId34" Type="http://schemas.openxmlformats.org/officeDocument/2006/relationships/customXml" Target="../ink/ink38.xml"/><Relationship Id="rId42" Type="http://schemas.openxmlformats.org/officeDocument/2006/relationships/customXml" Target="../ink/ink46.xml"/><Relationship Id="rId25" Type="http://schemas.openxmlformats.org/officeDocument/2006/relationships/customXml" Target="../ink/ink29.xml"/><Relationship Id="rId33" Type="http://schemas.openxmlformats.org/officeDocument/2006/relationships/customXml" Target="../ink/ink37.xml"/><Relationship Id="rId38" Type="http://schemas.openxmlformats.org/officeDocument/2006/relationships/customXml" Target="../ink/ink42.xml"/><Relationship Id="rId20" Type="http://schemas.openxmlformats.org/officeDocument/2006/relationships/image" Target="NULL"/><Relationship Id="rId29" Type="http://schemas.openxmlformats.org/officeDocument/2006/relationships/customXml" Target="../ink/ink33.xml"/><Relationship Id="rId41" Type="http://schemas.openxmlformats.org/officeDocument/2006/relationships/customXml" Target="../ink/ink45.xml"/><Relationship Id="rId1" Type="http://schemas.openxmlformats.org/officeDocument/2006/relationships/customXml" Target="../ink/ink25.xml"/><Relationship Id="rId24" Type="http://schemas.openxmlformats.org/officeDocument/2006/relationships/customXml" Target="../ink/ink28.xml"/><Relationship Id="rId32" Type="http://schemas.openxmlformats.org/officeDocument/2006/relationships/customXml" Target="../ink/ink36.xml"/><Relationship Id="rId37" Type="http://schemas.openxmlformats.org/officeDocument/2006/relationships/customXml" Target="../ink/ink41.xml"/><Relationship Id="rId40" Type="http://schemas.openxmlformats.org/officeDocument/2006/relationships/customXml" Target="../ink/ink44.xml"/><Relationship Id="rId45" Type="http://schemas.openxmlformats.org/officeDocument/2006/relationships/image" Target="../media/image2.png"/><Relationship Id="rId23" Type="http://schemas.openxmlformats.org/officeDocument/2006/relationships/customXml" Target="../ink/ink27.xml"/><Relationship Id="rId28" Type="http://schemas.openxmlformats.org/officeDocument/2006/relationships/customXml" Target="../ink/ink32.xml"/><Relationship Id="rId36" Type="http://schemas.openxmlformats.org/officeDocument/2006/relationships/customXml" Target="../ink/ink40.xml"/><Relationship Id="rId31" Type="http://schemas.openxmlformats.org/officeDocument/2006/relationships/customXml" Target="../ink/ink35.xml"/><Relationship Id="rId44" Type="http://schemas.openxmlformats.org/officeDocument/2006/relationships/customXml" Target="../ink/ink48.xml"/><Relationship Id="rId22" Type="http://schemas.openxmlformats.org/officeDocument/2006/relationships/image" Target="NULL"/><Relationship Id="rId27" Type="http://schemas.openxmlformats.org/officeDocument/2006/relationships/customXml" Target="../ink/ink31.xml"/><Relationship Id="rId30" Type="http://schemas.openxmlformats.org/officeDocument/2006/relationships/customXml" Target="../ink/ink34.xml"/><Relationship Id="rId35" Type="http://schemas.openxmlformats.org/officeDocument/2006/relationships/customXml" Target="../ink/ink39.xml"/><Relationship Id="rId43" Type="http://schemas.openxmlformats.org/officeDocument/2006/relationships/customXml" Target="../ink/ink4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1" name="Entrada de lápiz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8</xdr:row>
          <xdr:rowOff>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</xdr:row>
          <xdr:rowOff>85725</xdr:rowOff>
        </xdr:from>
        <xdr:to>
          <xdr:col>10</xdr:col>
          <xdr:colOff>342900</xdr:colOff>
          <xdr:row>8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85725</xdr:rowOff>
        </xdr:from>
        <xdr:to>
          <xdr:col>10</xdr:col>
          <xdr:colOff>352425</xdr:colOff>
          <xdr:row>9</xdr:row>
          <xdr:rowOff>276225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10</xdr:row>
          <xdr:rowOff>66675</xdr:rowOff>
        </xdr:from>
        <xdr:to>
          <xdr:col>10</xdr:col>
          <xdr:colOff>361950</xdr:colOff>
          <xdr:row>10</xdr:row>
          <xdr:rowOff>257175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11</xdr:col>
          <xdr:colOff>0</xdr:colOff>
          <xdr:row>16</xdr:row>
          <xdr:rowOff>9525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47625</xdr:rowOff>
        </xdr:from>
        <xdr:to>
          <xdr:col>10</xdr:col>
          <xdr:colOff>342900</xdr:colOff>
          <xdr:row>13</xdr:row>
          <xdr:rowOff>276225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38100</xdr:rowOff>
        </xdr:from>
        <xdr:to>
          <xdr:col>10</xdr:col>
          <xdr:colOff>342900</xdr:colOff>
          <xdr:row>14</xdr:row>
          <xdr:rowOff>266700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19050</xdr:rowOff>
        </xdr:from>
        <xdr:to>
          <xdr:col>10</xdr:col>
          <xdr:colOff>333375</xdr:colOff>
          <xdr:row>15</xdr:row>
          <xdr:rowOff>247650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2" name="Entrada de lápiz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3" name="Entrada de lápiz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4" name="Entrada de lápiz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25" name="Entrada de lápiz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6" name="Entrada de lápiz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27" name="Entrada de lápiz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8" name="Entrada de lápiz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29" name="Entrada de lápiz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0" name="Entrada de lápiz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1" name="Entrada de lápiz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2" name="Entrada de lápiz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3" name="Entrada de lápiz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28575</xdr:rowOff>
        </xdr:from>
        <xdr:to>
          <xdr:col>10</xdr:col>
          <xdr:colOff>295275</xdr:colOff>
          <xdr:row>18</xdr:row>
          <xdr:rowOff>238125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47625</xdr:rowOff>
        </xdr:from>
        <xdr:to>
          <xdr:col>10</xdr:col>
          <xdr:colOff>295275</xdr:colOff>
          <xdr:row>19</xdr:row>
          <xdr:rowOff>257175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20</xdr:row>
          <xdr:rowOff>47625</xdr:rowOff>
        </xdr:from>
        <xdr:to>
          <xdr:col>10</xdr:col>
          <xdr:colOff>314325</xdr:colOff>
          <xdr:row>20</xdr:row>
          <xdr:rowOff>257175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285750</xdr:rowOff>
        </xdr:from>
        <xdr:to>
          <xdr:col>11</xdr:col>
          <xdr:colOff>9525</xdr:colOff>
          <xdr:row>21</xdr:row>
          <xdr:rowOff>9525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547194</xdr:colOff>
      <xdr:row>1</xdr:row>
      <xdr:rowOff>28575</xdr:rowOff>
    </xdr:from>
    <xdr:to>
      <xdr:col>22</xdr:col>
      <xdr:colOff>247915</xdr:colOff>
      <xdr:row>5</xdr:row>
      <xdr:rowOff>57150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9819" y="228600"/>
          <a:ext cx="729421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1" name="Entrada de lápiz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15</xdr:row>
          <xdr:rowOff>314325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0</xdr:rowOff>
        </xdr:from>
        <xdr:to>
          <xdr:col>10</xdr:col>
          <xdr:colOff>342900</xdr:colOff>
          <xdr:row>14</xdr:row>
          <xdr:rowOff>38100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276225</xdr:rowOff>
        </xdr:from>
        <xdr:to>
          <xdr:col>10</xdr:col>
          <xdr:colOff>342900</xdr:colOff>
          <xdr:row>15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257175</xdr:rowOff>
        </xdr:from>
        <xdr:to>
          <xdr:col>10</xdr:col>
          <xdr:colOff>342900</xdr:colOff>
          <xdr:row>15</xdr:row>
          <xdr:rowOff>295275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2" name="Entrada de lápiz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3" name="Entrada de lápiz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4" name="Entrada de lápiz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25" name="Entrada de lápiz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6" name="Entrada de lápiz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27" name="Entrada de lápiz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8" name="Entrada de lápiz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7" name="Entrada de lápiz 46">
              <a:extLst>
                <a:ext uri="{FF2B5EF4-FFF2-40B4-BE49-F238E27FC236}">
                  <a16:creationId xmlns:a16="http://schemas.microsoft.com/office/drawing/2014/main" id="{B540E2EC-F25B-487A-BAE9-C8DD1C31C01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29" name="Entrada de lápiz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796F91C9-7F07-4DDE-8FD1-EA23B42D5CD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0" name="Entrada de lápiz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49" name="Entrada de lápiz 48">
              <a:extLst>
                <a:ext uri="{FF2B5EF4-FFF2-40B4-BE49-F238E27FC236}">
                  <a16:creationId xmlns:a16="http://schemas.microsoft.com/office/drawing/2014/main" id="{2802EDC1-4F9A-4835-B4B7-2EF946CB208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1" name="Entrada de lápiz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0" name="Entrada de lápiz 49">
              <a:extLst>
                <a:ext uri="{FF2B5EF4-FFF2-40B4-BE49-F238E27FC236}">
                  <a16:creationId xmlns:a16="http://schemas.microsoft.com/office/drawing/2014/main" id="{9AFA6C86-EC6F-4C43-977E-8ADD7C3F2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120843</xdr:colOff>
      <xdr:row>4</xdr:row>
      <xdr:rowOff>122074</xdr:rowOff>
    </xdr:from>
    <xdr:ext cx="7200" cy="64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2" name="Entrada de lápiz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7805520" y="20859528"/>
            <a:ext cx="7200" cy="64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0331AFFE-86A8-41F2-ABB9-35CF79CF661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801200" y="20855208"/>
              <a:ext cx="15840" cy="15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99243</xdr:colOff>
      <xdr:row>4</xdr:row>
      <xdr:rowOff>113434</xdr:rowOff>
    </xdr:from>
    <xdr:ext cx="7200" cy="90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3" name="Entrada de lápiz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14:cNvPr>
            <xdr14:cNvContentPartPr/>
          </xdr14:nvContentPartPr>
          <xdr14:nvPr macro=""/>
          <xdr14:xfrm>
            <a:off x="7783920" y="20850888"/>
            <a:ext cx="7200" cy="900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4DD60033-6DC5-4156-B88D-BE341AE9F857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79600" y="20846568"/>
              <a:ext cx="15840" cy="1764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8</xdr:row>
          <xdr:rowOff>0</xdr:rowOff>
        </xdr:from>
        <xdr:to>
          <xdr:col>11</xdr:col>
          <xdr:colOff>0</xdr:colOff>
          <xdr:row>10</xdr:row>
          <xdr:rowOff>314325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28575</xdr:rowOff>
        </xdr:from>
        <xdr:to>
          <xdr:col>10</xdr:col>
          <xdr:colOff>323850</xdr:colOff>
          <xdr:row>8</xdr:row>
          <xdr:rowOff>247650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10</xdr:col>
          <xdr:colOff>333375</xdr:colOff>
          <xdr:row>9</xdr:row>
          <xdr:rowOff>266700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47625</xdr:rowOff>
        </xdr:from>
        <xdr:to>
          <xdr:col>10</xdr:col>
          <xdr:colOff>333375</xdr:colOff>
          <xdr:row>10</xdr:row>
          <xdr:rowOff>266700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2066" name="Group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38100</xdr:rowOff>
        </xdr:from>
        <xdr:to>
          <xdr:col>10</xdr:col>
          <xdr:colOff>361950</xdr:colOff>
          <xdr:row>18</xdr:row>
          <xdr:rowOff>247650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28575</xdr:rowOff>
        </xdr:from>
        <xdr:to>
          <xdr:col>10</xdr:col>
          <xdr:colOff>361950</xdr:colOff>
          <xdr:row>19</xdr:row>
          <xdr:rowOff>238125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20</xdr:row>
          <xdr:rowOff>38100</xdr:rowOff>
        </xdr:from>
        <xdr:to>
          <xdr:col>10</xdr:col>
          <xdr:colOff>361950</xdr:colOff>
          <xdr:row>20</xdr:row>
          <xdr:rowOff>247650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523875</xdr:colOff>
      <xdr:row>1</xdr:row>
      <xdr:rowOff>38100</xdr:rowOff>
    </xdr:from>
    <xdr:to>
      <xdr:col>22</xdr:col>
      <xdr:colOff>226758</xdr:colOff>
      <xdr:row>5</xdr:row>
      <xdr:rowOff>64873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887450" y="238125"/>
          <a:ext cx="731583" cy="1188823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1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5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6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7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8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79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80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81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82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8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6-22T08:40:16.58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2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5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6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7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8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49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50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51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52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7T10:43:02.65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5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6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7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8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59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0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1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2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5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6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7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8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69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0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1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2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3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4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5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18 3328,'-13'-17'1216,"7"20"-928,6-3-96,0 0-256,0 0 0,0 0-32,0 0 32,0 0 0,0 0 0,0 0 128,0 0-32,0 0-928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5T11:48:56.676"/>
    </inkml:context>
    <inkml:brush xml:id="br0">
      <inkml:brushProperty name="width" value="0.025" units="cm"/>
      <inkml:brushProperty name="height" value="0.025" units="cm"/>
      <inkml:brushProperty name="color" value="#849398"/>
    </inkml:brush>
  </inkml:definitions>
  <inkml:trace contextRef="#ctx0" brushRef="#br0">19 25 3232,'-10'-12'1184,"10"12"-896,0-5-96,0 5-32,0 0-128,0 0 64,0 0-64,-5 0-32,5 0 32,-4 0-256,4 0 128,0 0-320,0-4 256,0 4-1696,0 0 1024,4-3-160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95317C-582B-4895-B298-896BF66D20F7}" name="Tabla1324" displayName="Tabla1324" ref="A60:A65" totalsRowShown="0" headerRowDxfId="17" dataDxfId="16" tableBorderDxfId="15">
  <autoFilter ref="A60:A65" xr:uid="{A095317C-582B-4895-B298-896BF66D20F7}"/>
  <tableColumns count="1">
    <tableColumn id="1" xr3:uid="{4CF1A5EA-1EAF-4359-B437-44AE38E66DCD}" name="Qa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C3F91C-6244-4DB6-9512-A911D8FA60FA}" name="Tabla13" displayName="Tabla13" ref="B12:B19" totalsRowShown="0" headerRowDxfId="13" dataDxfId="12" tableBorderDxfId="11">
  <autoFilter ref="B12:B19" xr:uid="{4CC3F91C-6244-4DB6-9512-A911D8FA60FA}"/>
  <tableColumns count="1">
    <tableColumn id="1" xr3:uid="{14D5EA22-C981-419F-9CC9-4A30840BD3FA}" name="-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CAE01B-442A-4BD4-89FF-98B00B503A4A}" name="Tabla132" displayName="Tabla132" ref="B16:B31" totalsRowShown="0" headerRowDxfId="9" dataDxfId="8" tableBorderDxfId="7">
  <tableColumns count="1">
    <tableColumn id="2" xr3:uid="{F0F38AE1-3159-4730-BC64-65B86ACD5BC2}" name="XA1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63E690-E0B4-4676-9CA7-370CB23D97F2}" name="Tabla13246" displayName="Tabla13246" ref="A88:A97" totalsRowShown="0" headerRowDxfId="5" dataDxfId="4" tableBorderDxfId="3">
  <tableColumns count="1">
    <tableColumn id="1" xr3:uid="{85AD4D07-AFBD-4ED5-A687-4F547EC60DEF}" name="XA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F783-11C5-4334-A88B-7C80BCAF112D}">
  <sheetPr codeName="Hoja3">
    <tabColor theme="4"/>
  </sheetPr>
  <dimension ref="A1:W35"/>
  <sheetViews>
    <sheetView tabSelected="1" zoomScaleNormal="100" workbookViewId="0">
      <selection activeCell="E5" sqref="E5"/>
    </sheetView>
  </sheetViews>
  <sheetFormatPr baseColWidth="10" defaultColWidth="11.42578125" defaultRowHeight="15" x14ac:dyDescent="0.25"/>
  <cols>
    <col min="1" max="1" width="4.7109375" customWidth="1"/>
    <col min="2" max="2" width="4.140625" customWidth="1"/>
    <col min="3" max="3" width="18" customWidth="1"/>
    <col min="7" max="7" width="11.7109375" customWidth="1"/>
    <col min="8" max="8" width="2.140625" customWidth="1"/>
    <col min="9" max="9" width="11.140625" customWidth="1"/>
    <col min="10" max="10" width="3.140625" customWidth="1"/>
    <col min="11" max="11" width="9.28515625" customWidth="1"/>
    <col min="12" max="12" width="8" customWidth="1"/>
    <col min="13" max="13" width="22.85546875" customWidth="1"/>
    <col min="15" max="15" width="12.5703125" customWidth="1"/>
    <col min="17" max="17" width="11.85546875" customWidth="1"/>
    <col min="18" max="18" width="2.42578125" customWidth="1"/>
    <col min="19" max="19" width="10" customWidth="1"/>
    <col min="20" max="20" width="2.5703125" customWidth="1"/>
    <col min="21" max="21" width="9" customWidth="1"/>
    <col min="22" max="22" width="15.42578125" customWidth="1"/>
    <col min="23" max="23" width="4.5703125" customWidth="1"/>
  </cols>
  <sheetData>
    <row r="1" spans="1:23" ht="15.75" thickBot="1" x14ac:dyDescent="0.3"/>
    <row r="2" spans="1:23" ht="15.75" thickBot="1" x14ac:dyDescent="0.3">
      <c r="A2" s="292"/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30"/>
      <c r="N2" s="230"/>
      <c r="O2" s="230"/>
      <c r="P2" s="230"/>
      <c r="Q2" s="230"/>
      <c r="R2" s="230"/>
      <c r="S2" s="230"/>
      <c r="T2" s="230"/>
      <c r="U2" s="230"/>
      <c r="V2" s="231"/>
      <c r="W2" s="232"/>
    </row>
    <row r="3" spans="1:23" ht="18.75" customHeight="1" x14ac:dyDescent="0.3">
      <c r="A3" s="292"/>
      <c r="B3" s="296"/>
      <c r="C3" s="277" t="s">
        <v>67</v>
      </c>
      <c r="D3" s="278"/>
      <c r="E3" s="278"/>
      <c r="F3" s="278"/>
      <c r="G3" s="278"/>
      <c r="H3" s="278"/>
      <c r="I3" s="278"/>
      <c r="J3" s="278"/>
      <c r="K3" s="279"/>
      <c r="L3" s="234"/>
      <c r="M3" s="285" t="s">
        <v>71</v>
      </c>
      <c r="N3" s="286"/>
      <c r="O3" s="286"/>
      <c r="P3" s="286"/>
      <c r="Q3" s="286"/>
      <c r="R3" s="286"/>
      <c r="S3" s="286"/>
      <c r="T3" s="286"/>
      <c r="U3" s="287"/>
      <c r="V3" s="235"/>
      <c r="W3" s="236"/>
    </row>
    <row r="4" spans="1:23" ht="30.75" customHeight="1" x14ac:dyDescent="0.25">
      <c r="A4" s="292"/>
      <c r="B4" s="296"/>
      <c r="C4" s="237" t="s">
        <v>72</v>
      </c>
      <c r="D4" s="238" t="s">
        <v>77</v>
      </c>
      <c r="E4" s="238" t="s">
        <v>73</v>
      </c>
      <c r="F4" s="238" t="s">
        <v>74</v>
      </c>
      <c r="G4" s="239" t="s">
        <v>75</v>
      </c>
      <c r="H4" s="297" t="s">
        <v>76</v>
      </c>
      <c r="I4" s="298"/>
      <c r="J4" s="298"/>
      <c r="K4" s="299"/>
      <c r="L4" s="234"/>
      <c r="M4" s="240" t="s">
        <v>72</v>
      </c>
      <c r="N4" s="241" t="s">
        <v>22</v>
      </c>
      <c r="O4" s="241" t="s">
        <v>73</v>
      </c>
      <c r="P4" s="241" t="s">
        <v>74</v>
      </c>
      <c r="Q4" s="288" t="s">
        <v>96</v>
      </c>
      <c r="R4" s="289"/>
      <c r="S4" s="289"/>
      <c r="T4" s="289"/>
      <c r="U4" s="290"/>
      <c r="V4" s="235"/>
      <c r="W4" s="236"/>
    </row>
    <row r="5" spans="1:23" ht="26.25" customHeight="1" thickBot="1" x14ac:dyDescent="0.3">
      <c r="A5" s="292"/>
      <c r="B5" s="296"/>
      <c r="C5" s="1" t="s">
        <v>4</v>
      </c>
      <c r="D5" s="3">
        <v>25</v>
      </c>
      <c r="E5" s="2" t="s">
        <v>20</v>
      </c>
      <c r="F5" s="2">
        <v>12</v>
      </c>
      <c r="G5" s="2" t="s">
        <v>7</v>
      </c>
      <c r="H5" s="265" t="str">
        <f>IF(I5="","",IF(I5="-","","+"))</f>
        <v/>
      </c>
      <c r="I5" s="10" t="s">
        <v>2</v>
      </c>
      <c r="J5" s="243" t="str">
        <f>IF(K5="","",IF(K5="-","","+"))</f>
        <v/>
      </c>
      <c r="K5" s="11" t="s">
        <v>2</v>
      </c>
      <c r="L5" s="234"/>
      <c r="M5" s="5" t="str">
        <f>C5</f>
        <v>HA</v>
      </c>
      <c r="N5" s="242">
        <f>'CÁLCULO TRADUCTOR EHE-CodE'!B72</f>
        <v>25</v>
      </c>
      <c r="O5" s="6" t="str">
        <f>E5</f>
        <v>B</v>
      </c>
      <c r="P5" s="6">
        <f>F5</f>
        <v>12</v>
      </c>
      <c r="Q5" s="6" t="str">
        <f>IFERROR('CÁLCULO TRADUCTOR EHE-CodE'!S45,"")</f>
        <v>XC2</v>
      </c>
      <c r="R5" s="7" t="str">
        <f>IF(S5="","",IF(S5="-","","+"))</f>
        <v/>
      </c>
      <c r="S5" s="8" t="str">
        <f>IFERROR('CÁLCULO TRADUCTOR EHE-CodE'!T45,"")</f>
        <v/>
      </c>
      <c r="T5" s="7" t="str">
        <f>IF(U5="","",IF(U5="-","","+"))</f>
        <v/>
      </c>
      <c r="U5" s="244" t="str">
        <f>IFERROR('CÁLCULO TRADUCTOR EHE-CodE'!U45,"")</f>
        <v/>
      </c>
      <c r="V5" s="235"/>
      <c r="W5" s="236"/>
    </row>
    <row r="6" spans="1:23" ht="26.25" customHeight="1" thickBot="1" x14ac:dyDescent="0.3">
      <c r="A6" s="292"/>
      <c r="B6" s="296"/>
      <c r="C6" s="235"/>
      <c r="D6" s="235"/>
      <c r="E6" s="235"/>
      <c r="F6" s="235"/>
      <c r="G6" s="235"/>
      <c r="H6" s="235"/>
      <c r="I6" s="235"/>
      <c r="J6" s="235"/>
      <c r="K6" s="235"/>
      <c r="L6" s="234"/>
      <c r="M6" s="283"/>
      <c r="N6" s="283"/>
      <c r="O6" s="283"/>
      <c r="P6" s="283"/>
      <c r="Q6" s="283"/>
      <c r="R6" s="283"/>
      <c r="S6" s="283"/>
      <c r="T6" s="245"/>
      <c r="U6" s="234"/>
      <c r="V6" s="246"/>
      <c r="W6" s="236"/>
    </row>
    <row r="7" spans="1:23" ht="23.1" customHeight="1" x14ac:dyDescent="0.25">
      <c r="A7" s="292"/>
      <c r="B7" s="296"/>
      <c r="C7" s="293" t="s">
        <v>90</v>
      </c>
      <c r="D7" s="293"/>
      <c r="E7" s="293"/>
      <c r="F7" s="293"/>
      <c r="G7" s="293"/>
      <c r="H7" s="293"/>
      <c r="I7" s="293"/>
      <c r="J7" s="234"/>
      <c r="K7" s="234"/>
      <c r="L7" s="234"/>
      <c r="M7" s="247" t="s">
        <v>126</v>
      </c>
      <c r="N7" s="248" t="s">
        <v>140</v>
      </c>
      <c r="O7" s="249" t="s">
        <v>141</v>
      </c>
      <c r="P7" s="305" t="s">
        <v>148</v>
      </c>
      <c r="Q7" s="306"/>
      <c r="R7" s="306"/>
      <c r="S7" s="306"/>
      <c r="T7" s="306"/>
      <c r="U7" s="307"/>
      <c r="V7" s="246"/>
      <c r="W7" s="236"/>
    </row>
    <row r="8" spans="1:23" ht="23.1" customHeight="1" x14ac:dyDescent="0.25">
      <c r="A8" s="292"/>
      <c r="B8" s="296"/>
      <c r="C8" s="280" t="str">
        <f>IF(G5="-","",VLOOKUP(G5,'CÁLCULO TRADUCTOR EHE-CodE'!A53:B59,2,FALSE))</f>
        <v>Corrosión de la armadura inducida por carbonatación.</v>
      </c>
      <c r="D8" s="280"/>
      <c r="E8" s="280"/>
      <c r="F8" s="280"/>
      <c r="G8" s="280"/>
      <c r="H8" s="280"/>
      <c r="I8" s="280"/>
      <c r="J8" s="280"/>
      <c r="K8" s="280"/>
      <c r="L8" s="234"/>
      <c r="M8" s="250" t="s">
        <v>142</v>
      </c>
      <c r="N8" s="251">
        <f>IF(C5="HM",'Prescripciones generales'!O24,IF(C5="HA",'Prescripciones generales'!Q24,IF(C5="HP",'Prescripciones generales'!S24,"")))</f>
        <v>0.6</v>
      </c>
      <c r="O8" s="252">
        <f>IF(M5="HM",'CÁLCULO TRADUCTOR EHE-CodE'!H50,IF(M5="HA",'CÁLCULO TRADUCTOR EHE-CodE'!K50,IF(M5="HP",'CÁLCULO TRADUCTOR EHE-CodE'!N50,"")))</f>
        <v>0.6</v>
      </c>
      <c r="P8" s="308" t="s">
        <v>124</v>
      </c>
      <c r="Q8" s="308"/>
      <c r="R8" s="308"/>
      <c r="S8" s="303" t="str">
        <f>'PRESCRIPCIONES EHE-CodE'!F25</f>
        <v>-</v>
      </c>
      <c r="T8" s="303"/>
      <c r="U8" s="304"/>
      <c r="V8" s="246"/>
      <c r="W8" s="236"/>
    </row>
    <row r="9" spans="1:23" s="9" customFormat="1" ht="24.95" customHeight="1" x14ac:dyDescent="0.25">
      <c r="A9" s="292"/>
      <c r="B9" s="296"/>
      <c r="C9" s="282" t="str">
        <f>IF(G$5="","",IF(G$5="I",'CÁLCULO TRADUCTOR EHE-CodE'!F6,IF(G$5="IIa",'CÁLCULO TRADUCTOR EHE-CodE'!F9,IF(G$5="IIb",'CÁLCULO TRADUCTOR EHE-CodE'!F12,IF(G$5="IIIa",'CÁLCULO TRADUCTOR EHE-CodE'!F15,IF(G$5="IIIb",'CÁLCULO TRADUCTOR EHE-CodE'!F18,IF(G$5="IIIc",'CÁLCULO TRADUCTOR EHE-CodE'!F21,IF(G$5="IV",'CÁLCULO TRADUCTOR EHE-CodE'!F24,""))))))))</f>
        <v>Hormigón armado o pretensado en ambiente permanentemente húmedo.</v>
      </c>
      <c r="D9" s="282"/>
      <c r="E9" s="282"/>
      <c r="F9" s="282"/>
      <c r="G9" s="282"/>
      <c r="H9" s="282"/>
      <c r="I9" s="282"/>
      <c r="J9" s="281"/>
      <c r="K9" s="281"/>
      <c r="L9" s="234"/>
      <c r="M9" s="250" t="s">
        <v>143</v>
      </c>
      <c r="N9" s="254">
        <f>IF(C5="HM",'Prescripciones generales'!P24,IF(C5="HA",'Prescripciones generales'!R24,IF(C5="HP",'Prescripciones generales'!T24,"")))</f>
        <v>275</v>
      </c>
      <c r="O9" s="255">
        <f>IF(M5="HM",'CÁLCULO TRADUCTOR EHE-CodE'!I50,IF(M5="HA",'CÁLCULO TRADUCTOR EHE-CodE'!L50,IF(M5="HP",'CÁLCULO TRADUCTOR EHE-CodE'!O50,"")))</f>
        <v>275</v>
      </c>
      <c r="P9" s="308" t="s">
        <v>149</v>
      </c>
      <c r="Q9" s="308"/>
      <c r="R9" s="308"/>
      <c r="S9" s="303" t="str">
        <f>'PRESCRIPCIONES EHE-CodE'!G25</f>
        <v>-</v>
      </c>
      <c r="T9" s="303"/>
      <c r="U9" s="304"/>
      <c r="V9" s="246"/>
      <c r="W9" s="236"/>
    </row>
    <row r="10" spans="1:23" s="9" customFormat="1" ht="24.95" customHeight="1" x14ac:dyDescent="0.25">
      <c r="A10" s="292"/>
      <c r="B10" s="296"/>
      <c r="C10" s="282" t="str">
        <f>IF(G$5="","",IF(G$5="I",'CÁLCULO TRADUCTOR EHE-CodE'!F7,IF(G$5="IIa",'CÁLCULO TRADUCTOR EHE-CodE'!F10,IF(G$5="IIb",'CÁLCULO TRADUCTOR EHE-CodE'!F13,IF(G$5="IIIa",'CÁLCULO TRADUCTOR EHE-CodE'!F16,IF(G$5="IIIb",'CÁLCULO TRADUCTOR EHE-CodE'!F19,IF(G$5="IIIc",'CÁLCULO TRADUCTOR EHE-CodE'!F22,IF(G$5="IV",'CÁLCULO TRADUCTOR EHE-CodE'!F25,""))))))))</f>
        <v>Hormigón armado o pretensado en ambiente húmedo, rara vez seco.</v>
      </c>
      <c r="D10" s="282"/>
      <c r="E10" s="282"/>
      <c r="F10" s="282"/>
      <c r="G10" s="282"/>
      <c r="H10" s="282"/>
      <c r="I10" s="282"/>
      <c r="J10" s="282"/>
      <c r="K10" s="282"/>
      <c r="L10" s="234"/>
      <c r="M10" s="309" t="s">
        <v>146</v>
      </c>
      <c r="N10" s="256" t="s">
        <v>122</v>
      </c>
      <c r="O10" s="257" t="s">
        <v>145</v>
      </c>
      <c r="P10" s="308" t="s">
        <v>125</v>
      </c>
      <c r="Q10" s="308"/>
      <c r="R10" s="308"/>
      <c r="S10" s="303" t="str">
        <f>IF(Q5="","",'PRESCRIPCIONES EHE-CodE'!H25)</f>
        <v>-</v>
      </c>
      <c r="T10" s="303"/>
      <c r="U10" s="304"/>
      <c r="V10" s="246"/>
      <c r="W10" s="236"/>
    </row>
    <row r="11" spans="1:23" s="9" customFormat="1" ht="24.95" customHeight="1" thickBot="1" x14ac:dyDescent="0.3">
      <c r="A11" s="292"/>
      <c r="B11" s="296"/>
      <c r="C11" s="282" t="str">
        <f>IF(G$5="","",IF(G$5="I",'CÁLCULO TRADUCTOR EHE-CodE'!F8,IF(G$5="IIa",'CÁLCULO TRADUCTOR EHE-CodE'!F11,IF(G$5="IIb",'CÁLCULO TRADUCTOR EHE-CodE'!F14,IF(G$5="IIIa",'CÁLCULO TRADUCTOR EHE-CodE'!F17,IF(G$5="IIIb",'CÁLCULO TRADUCTOR EHE-CodE'!F20,IF(G$5="IIIc",'CÁLCULO TRADUCTOR EHE-CodE'!F23,IF(G$5="IV",'CÁLCULO TRADUCTOR EHE-CodE'!F26,""))))))))</f>
        <v>Hormigón armado o pretensado en ambiente de humedad moderada (HR&gt;65%)</v>
      </c>
      <c r="D11" s="282"/>
      <c r="E11" s="282"/>
      <c r="F11" s="282"/>
      <c r="G11" s="282"/>
      <c r="H11" s="282"/>
      <c r="I11" s="282"/>
      <c r="J11" s="281"/>
      <c r="K11" s="281"/>
      <c r="L11" s="234"/>
      <c r="M11" s="310"/>
      <c r="N11" s="258" t="str">
        <f>'PRESCRIPCIONES EHE-CodE'!E25</f>
        <v>-</v>
      </c>
      <c r="O11" s="259" t="str">
        <f>'PRESCRIPCIONES EHE-CodE'!E26</f>
        <v>-</v>
      </c>
      <c r="P11" s="311" t="s">
        <v>147</v>
      </c>
      <c r="Q11" s="311"/>
      <c r="R11" s="311"/>
      <c r="S11" s="260" t="str">
        <f>IF(T11="-","","≤")</f>
        <v>≤</v>
      </c>
      <c r="T11" s="312">
        <f>'PRESCRIPCIONES EHE-CodE'!J25</f>
        <v>0.4</v>
      </c>
      <c r="U11" s="313"/>
      <c r="V11" s="246"/>
      <c r="W11" s="236"/>
    </row>
    <row r="12" spans="1:23" ht="23.25" customHeight="1" thickBot="1" x14ac:dyDescent="0.3">
      <c r="A12" s="292"/>
      <c r="B12" s="296"/>
      <c r="C12" s="284"/>
      <c r="D12" s="284"/>
      <c r="E12" s="284"/>
      <c r="F12" s="284"/>
      <c r="G12" s="284"/>
      <c r="H12" s="284"/>
      <c r="I12" s="284"/>
      <c r="J12" s="234"/>
      <c r="K12" s="234"/>
      <c r="L12" s="234"/>
      <c r="M12" s="300" t="str">
        <f>IF(AND(N11="-",O11="-"),"",IF(AND(N11="SI",O11="-"),"El cemento SR/SRC cubre las necesidades del MR.",IF(AND(N11="SI",O11="Tabla 27.1.b"),"SR/SRC si la tipificación del ambiente es por ataque de sulfatos. El cemento SR/SRC cubre las necesidades del MR",IF(AND(N11="SI*",O11="-"),"Uso de cemento MR en caso de contacto con agua de mar. El cemento SR/SRC cubre las necesidades del MR",IF(AND(N11="-",O11="Tabla 27.1.b"),"SR/SRC si la tipificación del ambiente es por ataque de sulfatos","")))))</f>
        <v/>
      </c>
      <c r="N12" s="301"/>
      <c r="O12" s="301"/>
      <c r="P12" s="301"/>
      <c r="Q12" s="301"/>
      <c r="R12" s="301"/>
      <c r="S12" s="301"/>
      <c r="T12" s="301"/>
      <c r="U12" s="302"/>
      <c r="V12" s="246"/>
      <c r="W12" s="236"/>
    </row>
    <row r="13" spans="1:23" ht="23.1" customHeight="1" thickBot="1" x14ac:dyDescent="0.3">
      <c r="A13" s="292"/>
      <c r="B13" s="296"/>
      <c r="C13" s="280" t="str">
        <f>IF(OR(I5="-",I5=""),"",VLOOKUP(I5,'CÁLCULO TRADUCTOR EHE-CodE'!A60:B65,2,FALSE))</f>
        <v/>
      </c>
      <c r="D13" s="280"/>
      <c r="E13" s="280"/>
      <c r="F13" s="280"/>
      <c r="G13" s="280"/>
      <c r="H13" s="280"/>
      <c r="I13" s="280"/>
      <c r="J13" s="280"/>
      <c r="K13" s="280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46"/>
      <c r="W13" s="236"/>
    </row>
    <row r="14" spans="1:23" ht="23.1" customHeight="1" x14ac:dyDescent="0.25">
      <c r="A14" s="292"/>
      <c r="B14" s="296"/>
      <c r="C14" s="282" t="str">
        <f>IF(I$5="","",IF(I$5="Qa",'CÁLCULO TRADUCTOR EHE-CodE'!F27,IF(I$5="Qb",'CÁLCULO TRADUCTOR EHE-CodE'!F30,IF(I$5="Qc",'CÁLCULO TRADUCTOR EHE-CodE'!F33,IF(I$5="H",'CÁLCULO TRADUCTOR EHE-CodE'!F36,IF(I$5="F",'CÁLCULO TRADUCTOR EHE-CodE'!F39,IF(I$5="E",'CÁLCULO TRADUCTOR EHE-CodE'!F42,"")))))))</f>
        <v/>
      </c>
      <c r="D14" s="282"/>
      <c r="E14" s="282"/>
      <c r="F14" s="282"/>
      <c r="G14" s="282"/>
      <c r="H14" s="282"/>
      <c r="I14" s="282"/>
      <c r="J14" s="291"/>
      <c r="K14" s="291"/>
      <c r="L14" s="234"/>
      <c r="M14" s="317" t="str">
        <f>IF(AND(C5="HM",G5&lt;&gt;"I"),"La clase general de exposición es incongruente con el tipo de hormigón especificado HM.",IF(AND(C5="HA",D5&lt;25), "La resistencia característica seleccionada es incongruente con el TIPO introducido",""))</f>
        <v/>
      </c>
      <c r="N14" s="318"/>
      <c r="O14" s="318"/>
      <c r="P14" s="318"/>
      <c r="Q14" s="318"/>
      <c r="R14" s="318"/>
      <c r="S14" s="318"/>
      <c r="T14" s="318"/>
      <c r="U14" s="318"/>
      <c r="V14" s="319"/>
      <c r="W14" s="236"/>
    </row>
    <row r="15" spans="1:23" ht="23.1" customHeight="1" x14ac:dyDescent="0.25">
      <c r="A15" s="292"/>
      <c r="B15" s="296"/>
      <c r="C15" s="282" t="str">
        <f>IF(I$5="","",IF(I$5="Qa",'CÁLCULO TRADUCTOR EHE-CodE'!F28,IF(I$5="Qb",'CÁLCULO TRADUCTOR EHE-CodE'!F31,IF(I$5="Qc",'CÁLCULO TRADUCTOR EHE-CodE'!F34,IF(I$5="H",'CÁLCULO TRADUCTOR EHE-CodE'!F37,IF(I$5="F",'CÁLCULO TRADUCTOR EHE-CodE'!F40,IF(I$5="E",'CÁLCULO TRADUCTOR EHE-CodE'!F43,"")))))))</f>
        <v/>
      </c>
      <c r="D15" s="282"/>
      <c r="E15" s="282"/>
      <c r="F15" s="282"/>
      <c r="G15" s="282"/>
      <c r="H15" s="282"/>
      <c r="I15" s="282"/>
      <c r="J15" s="291"/>
      <c r="K15" s="291"/>
      <c r="L15" s="234"/>
      <c r="M15" s="314" t="str">
        <f>IF('CÁLCULO TRADUCTOR EHE-CodE'!B77,"No debe seleccionar dos clases específicas de exposición del mismo grupo.",IF(OR(S5="-",Q5="-",U5="-"),"En las distintas opciones referidas a la exposición ambiental ha seleccionado un campo vacío. ",""))</f>
        <v/>
      </c>
      <c r="N15" s="315"/>
      <c r="O15" s="315"/>
      <c r="P15" s="315"/>
      <c r="Q15" s="315"/>
      <c r="R15" s="315"/>
      <c r="S15" s="315"/>
      <c r="T15" s="315"/>
      <c r="U15" s="315"/>
      <c r="V15" s="316"/>
      <c r="W15" s="236"/>
    </row>
    <row r="16" spans="1:23" ht="24.95" customHeight="1" x14ac:dyDescent="0.25">
      <c r="A16" s="292"/>
      <c r="B16" s="296"/>
      <c r="C16" s="282" t="str">
        <f>IF(I$5="","",IF(I$5="Qa",'CÁLCULO TRADUCTOR EHE-CodE'!F29,IF(I$5="Qb",'CÁLCULO TRADUCTOR EHE-CodE'!F32,IF(I$5="Qc",'CÁLCULO TRADUCTOR EHE-CodE'!F35,IF(I$5="H",'CÁLCULO TRADUCTOR EHE-CodE'!F38,IF(I$5="F",'CÁLCULO TRADUCTOR EHE-CodE'!F41,IF(I$5="E",'CÁLCULO TRADUCTOR EHE-CodE'!F44,"")))))))</f>
        <v/>
      </c>
      <c r="D16" s="282"/>
      <c r="E16" s="282"/>
      <c r="F16" s="282"/>
      <c r="G16" s="282"/>
      <c r="H16" s="282"/>
      <c r="I16" s="282"/>
      <c r="J16" s="291"/>
      <c r="K16" s="291"/>
      <c r="L16" s="234"/>
      <c r="M16" s="314" t="str">
        <f>IF(OR(E5="B",E5="P"),"En el CodE varía ligeramente el intervalo del asentamiento: P(30-40 mm.)  B(50-90 mm.).","")</f>
        <v>En el CodE varía ligeramente el intervalo del asentamiento: P(30-40 mm.)  B(50-90 mm.).</v>
      </c>
      <c r="N16" s="315"/>
      <c r="O16" s="315"/>
      <c r="P16" s="315"/>
      <c r="Q16" s="315"/>
      <c r="R16" s="315"/>
      <c r="S16" s="315"/>
      <c r="T16" s="315"/>
      <c r="U16" s="315"/>
      <c r="V16" s="316"/>
      <c r="W16" s="236"/>
    </row>
    <row r="17" spans="1:23" ht="23.1" customHeight="1" x14ac:dyDescent="0.25">
      <c r="A17" s="4"/>
      <c r="B17" s="261"/>
      <c r="C17" s="284"/>
      <c r="D17" s="284"/>
      <c r="E17" s="284"/>
      <c r="F17" s="284"/>
      <c r="G17" s="284"/>
      <c r="H17" s="284"/>
      <c r="I17" s="284"/>
      <c r="J17" s="234"/>
      <c r="K17" s="234"/>
      <c r="L17" s="246"/>
      <c r="M17" s="314" t="str">
        <f>IF(AND(C5="HM",G5="I",(OR('CÁLCULO TRADUCTOR EHE-CodE'!S5=2,'CÁLCULO TRADUCTOR EHE-CodE'!S5=3))),"Para el tipo HM, en lo que se refiere a la clase general de exposición tan sólo puede escoger la primera opción Elementos de hormigón en masa","")</f>
        <v/>
      </c>
      <c r="N17" s="315"/>
      <c r="O17" s="315"/>
      <c r="P17" s="315"/>
      <c r="Q17" s="315"/>
      <c r="R17" s="315"/>
      <c r="S17" s="315"/>
      <c r="T17" s="315"/>
      <c r="U17" s="315"/>
      <c r="V17" s="316"/>
      <c r="W17" s="236"/>
    </row>
    <row r="18" spans="1:23" ht="23.1" customHeight="1" x14ac:dyDescent="0.25">
      <c r="A18" s="4"/>
      <c r="B18" s="261"/>
      <c r="C18" s="280" t="str">
        <f>IF(OR(K5="-",K5=""),"",VLOOKUP(K5,'CÁLCULO TRADUCTOR EHE-CodE'!A60:B65,2,FALSE))</f>
        <v/>
      </c>
      <c r="D18" s="280"/>
      <c r="E18" s="280"/>
      <c r="F18" s="280"/>
      <c r="G18" s="280"/>
      <c r="H18" s="280"/>
      <c r="I18" s="280"/>
      <c r="J18" s="280"/>
      <c r="K18" s="280"/>
      <c r="L18" s="246"/>
      <c r="M18" s="314"/>
      <c r="N18" s="315"/>
      <c r="O18" s="315"/>
      <c r="P18" s="315"/>
      <c r="Q18" s="315"/>
      <c r="R18" s="315"/>
      <c r="S18" s="315"/>
      <c r="T18" s="315"/>
      <c r="U18" s="315"/>
      <c r="V18" s="316"/>
      <c r="W18" s="236"/>
    </row>
    <row r="19" spans="1:23" ht="23.1" customHeight="1" x14ac:dyDescent="0.25">
      <c r="A19" s="4"/>
      <c r="B19" s="261"/>
      <c r="C19" s="282" t="str">
        <f>IF(K$5="","",IF(K$5="Qa",'CÁLCULO TRADUCTOR EHE-CodE'!F27,IF(K$5="Qb",'CÁLCULO TRADUCTOR EHE-CodE'!F30,IF(K$5="Qc",'CÁLCULO TRADUCTOR EHE-CodE'!F33,IF(K$5="H",'CÁLCULO TRADUCTOR EHE-CodE'!F36,IF(K$5="F",'CÁLCULO TRADUCTOR EHE-CodE'!F39,IF(K$5="E",'CÁLCULO TRADUCTOR EHE-CodE'!F42,"")))))))</f>
        <v/>
      </c>
      <c r="D19" s="282"/>
      <c r="E19" s="282"/>
      <c r="F19" s="282"/>
      <c r="G19" s="282"/>
      <c r="H19" s="282"/>
      <c r="I19" s="282"/>
      <c r="J19" s="291"/>
      <c r="K19" s="291"/>
      <c r="L19" s="246"/>
      <c r="M19" s="314" t="str">
        <f>IF(AND(OR(C5="HA",C5="HP"),G5="I",'CÁLCULO TRADUCTOR EHE-CodE'!S5=1),"Para el tipo de hormigón HA o HP, en lo que se refiere a la clase general de exposición, debe escoger alguna de las opciones referidas a hormigón armado o pretensado.","")</f>
        <v/>
      </c>
      <c r="N19" s="315"/>
      <c r="O19" s="315"/>
      <c r="P19" s="315"/>
      <c r="Q19" s="315"/>
      <c r="R19" s="315"/>
      <c r="S19" s="315"/>
      <c r="T19" s="315"/>
      <c r="U19" s="315"/>
      <c r="V19" s="316"/>
      <c r="W19" s="236"/>
    </row>
    <row r="20" spans="1:23" ht="23.1" customHeight="1" x14ac:dyDescent="0.25">
      <c r="A20" s="4"/>
      <c r="B20" s="261"/>
      <c r="C20" s="282" t="str">
        <f>IF(K$5="","",IF(K$5="Qa",'CÁLCULO TRADUCTOR EHE-CodE'!F28,IF(K$5="Qb",'CÁLCULO TRADUCTOR EHE-CodE'!F31,IF(K$5="Qc",'CÁLCULO TRADUCTOR EHE-CodE'!F34,IF(K$5="H",'CÁLCULO TRADUCTOR EHE-CodE'!F37,IF(K$5="F",'CÁLCULO TRADUCTOR EHE-CodE'!F40,IF(K$5="E",'CÁLCULO TRADUCTOR EHE-CodE'!F43,"")))))))</f>
        <v/>
      </c>
      <c r="D20" s="282"/>
      <c r="E20" s="282"/>
      <c r="F20" s="282"/>
      <c r="G20" s="282"/>
      <c r="H20" s="282"/>
      <c r="I20" s="282"/>
      <c r="J20" s="291"/>
      <c r="K20" s="291"/>
      <c r="L20" s="246"/>
      <c r="M20" s="314"/>
      <c r="N20" s="315"/>
      <c r="O20" s="315"/>
      <c r="P20" s="315"/>
      <c r="Q20" s="315"/>
      <c r="R20" s="315"/>
      <c r="S20" s="315"/>
      <c r="T20" s="315"/>
      <c r="U20" s="315"/>
      <c r="V20" s="316"/>
      <c r="W20" s="236"/>
    </row>
    <row r="21" spans="1:23" ht="23.1" customHeight="1" thickBot="1" x14ac:dyDescent="0.3">
      <c r="A21" s="4"/>
      <c r="B21" s="233"/>
      <c r="C21" s="282" t="str">
        <f>IF(K$5="","",IF(K$5="Qa",'CÁLCULO TRADUCTOR EHE-CodE'!F29,IF(K$5="Qb",'CÁLCULO TRADUCTOR EHE-CodE'!F32,IF(K$5="Qc",'CÁLCULO TRADUCTOR EHE-CodE'!F35,IF(K$5="H",'CÁLCULO TRADUCTOR EHE-CodE'!F38,IF(K$5="F",'CÁLCULO TRADUCTOR EHE-CodE'!F41,IF(K$5="E",'CÁLCULO TRADUCTOR EHE-CodE'!F44,"")))))))</f>
        <v/>
      </c>
      <c r="D21" s="282"/>
      <c r="E21" s="282"/>
      <c r="F21" s="282"/>
      <c r="G21" s="282"/>
      <c r="H21" s="282"/>
      <c r="I21" s="282"/>
      <c r="J21" s="291"/>
      <c r="K21" s="291"/>
      <c r="L21" s="234"/>
      <c r="M21" s="274" t="str">
        <f>IF(G5="-","Se debe especificar una clase general de exposición (EHE-08).","")</f>
        <v/>
      </c>
      <c r="N21" s="275"/>
      <c r="O21" s="275"/>
      <c r="P21" s="275"/>
      <c r="Q21" s="275"/>
      <c r="R21" s="275"/>
      <c r="S21" s="275"/>
      <c r="T21" s="275"/>
      <c r="U21" s="275"/>
      <c r="V21" s="276"/>
      <c r="W21" s="236"/>
    </row>
    <row r="22" spans="1:23" ht="23.1" customHeight="1" thickBot="1" x14ac:dyDescent="0.3">
      <c r="B22" s="262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2" t="s">
        <v>150</v>
      </c>
      <c r="W22" s="264"/>
    </row>
    <row r="23" spans="1:23" ht="23.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3" ht="23.1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3" ht="23.1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3" ht="23.1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3" ht="23.1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3" ht="23.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3" ht="18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ht="18.75" customHeight="1" x14ac:dyDescent="0.25">
      <c r="C30" s="4"/>
      <c r="D30" s="4"/>
      <c r="E30" s="4"/>
      <c r="F30" s="4"/>
      <c r="G30" s="4"/>
      <c r="H30" s="4"/>
      <c r="I30" s="4"/>
      <c r="J30" s="4"/>
      <c r="K30" s="4"/>
      <c r="N30" s="4"/>
      <c r="O30" s="4"/>
      <c r="P30" s="4"/>
      <c r="Q30" s="4"/>
      <c r="R30" s="4"/>
      <c r="S30" s="4"/>
      <c r="T30" s="4"/>
      <c r="U30" s="4"/>
    </row>
    <row r="31" spans="1:23" ht="18.75" customHeight="1" x14ac:dyDescent="0.25"/>
    <row r="32" spans="1:23" ht="18.75" customHeight="1" x14ac:dyDescent="0.25"/>
    <row r="33" customFormat="1" ht="23.1" customHeight="1" x14ac:dyDescent="0.25"/>
    <row r="34" customFormat="1" ht="23.1" customHeight="1" x14ac:dyDescent="0.25"/>
    <row r="35" customFormat="1" ht="23.1" customHeight="1" x14ac:dyDescent="0.25"/>
  </sheetData>
  <sheetProtection algorithmName="SHA-512" hashValue="+BzkmdFz17eBrBbx74c5ZTPgz52fFDjhuDxCUIapkhZVE7QEss3kCgyABXFSMxwE48jX4WqwrZLkGGFI4i5Rtw==" saltValue="dWMHRdip6l5tYqHdgGe8pA==" spinCount="100000" sheet="1" objects="1" selectLockedCells="1"/>
  <dataConsolidate/>
  <mergeCells count="49">
    <mergeCell ref="M10:M11"/>
    <mergeCell ref="P11:R11"/>
    <mergeCell ref="T11:U11"/>
    <mergeCell ref="M19:V20"/>
    <mergeCell ref="M14:V14"/>
    <mergeCell ref="M15:V15"/>
    <mergeCell ref="M16:V16"/>
    <mergeCell ref="M17:V18"/>
    <mergeCell ref="P10:R10"/>
    <mergeCell ref="S8:U8"/>
    <mergeCell ref="P7:U7"/>
    <mergeCell ref="S9:U9"/>
    <mergeCell ref="S10:U10"/>
    <mergeCell ref="P9:R9"/>
    <mergeCell ref="P8:R8"/>
    <mergeCell ref="C19:I19"/>
    <mergeCell ref="J19:K19"/>
    <mergeCell ref="C20:I20"/>
    <mergeCell ref="J20:K20"/>
    <mergeCell ref="M12:U12"/>
    <mergeCell ref="A2:A16"/>
    <mergeCell ref="C7:I7"/>
    <mergeCell ref="C12:I12"/>
    <mergeCell ref="B2:L2"/>
    <mergeCell ref="B3:B16"/>
    <mergeCell ref="J15:K15"/>
    <mergeCell ref="J16:K16"/>
    <mergeCell ref="C11:I11"/>
    <mergeCell ref="J11:K11"/>
    <mergeCell ref="C13:K13"/>
    <mergeCell ref="C14:I14"/>
    <mergeCell ref="C15:I15"/>
    <mergeCell ref="H4:K4"/>
    <mergeCell ref="M21:V21"/>
    <mergeCell ref="C3:K3"/>
    <mergeCell ref="C8:K8"/>
    <mergeCell ref="J9:K9"/>
    <mergeCell ref="J10:K10"/>
    <mergeCell ref="M6:S6"/>
    <mergeCell ref="C17:I17"/>
    <mergeCell ref="M3:U3"/>
    <mergeCell ref="C9:I9"/>
    <mergeCell ref="C10:I10"/>
    <mergeCell ref="Q4:U4"/>
    <mergeCell ref="C16:I16"/>
    <mergeCell ref="J14:K14"/>
    <mergeCell ref="C21:I21"/>
    <mergeCell ref="J21:K21"/>
    <mergeCell ref="C18:K18"/>
  </mergeCells>
  <conditionalFormatting sqref="N5">
    <cfRule type="expression" dxfId="19" priority="1">
      <formula xml:space="preserve"> $N$5&gt;$D$5</formula>
    </cfRule>
  </conditionalFormatting>
  <pageMargins left="0.7" right="0.7" top="0.75" bottom="0.75" header="0.3" footer="0.3"/>
  <pageSetup paperSize="9" orientation="portrait" r:id="rId1"/>
  <ignoredErrors>
    <ignoredError sqref="N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Group Box 26">
              <controlPr defaultSize="0" autoFill="0" autoPict="0">
                <anchor moveWithCells="1">
                  <from>
                    <xdr:col>8</xdr:col>
                    <xdr:colOff>742950</xdr:colOff>
                    <xdr:row>8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Option Button 27">
              <controlPr defaultSize="0" autoFill="0" autoLine="0" autoPict="0">
                <anchor moveWithCells="1">
                  <from>
                    <xdr:col>10</xdr:col>
                    <xdr:colOff>85725</xdr:colOff>
                    <xdr:row>8</xdr:row>
                    <xdr:rowOff>85725</xdr:rowOff>
                  </from>
                  <to>
                    <xdr:col>10</xdr:col>
                    <xdr:colOff>342900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Option Button 28">
              <controlPr defaultSize="0" autoFill="0" autoLine="0" autoPict="0">
                <anchor moveWithCells="1">
                  <from>
                    <xdr:col>10</xdr:col>
                    <xdr:colOff>95250</xdr:colOff>
                    <xdr:row>9</xdr:row>
                    <xdr:rowOff>85725</xdr:rowOff>
                  </from>
                  <to>
                    <xdr:col>10</xdr:col>
                    <xdr:colOff>352425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Option Button 29">
              <controlPr defaultSize="0" autoFill="0" autoLine="0" autoPict="0">
                <anchor moveWithCells="1">
                  <from>
                    <xdr:col>10</xdr:col>
                    <xdr:colOff>95250</xdr:colOff>
                    <xdr:row>10</xdr:row>
                    <xdr:rowOff>66675</xdr:rowOff>
                  </from>
                  <to>
                    <xdr:col>10</xdr:col>
                    <xdr:colOff>361950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Group Box 30">
              <controlPr defaultSize="0" autoFill="0" autoPict="0" altText="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Option Button 31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47625</xdr:rowOff>
                  </from>
                  <to>
                    <xdr:col>10</xdr:col>
                    <xdr:colOff>342900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10</xdr:col>
                    <xdr:colOff>95250</xdr:colOff>
                    <xdr:row>14</xdr:row>
                    <xdr:rowOff>38100</xdr:rowOff>
                  </from>
                  <to>
                    <xdr:col>10</xdr:col>
                    <xdr:colOff>342900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Option Button 33">
              <controlPr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19050</xdr:rowOff>
                  </from>
                  <to>
                    <xdr:col>10</xdr:col>
                    <xdr:colOff>333375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Option Button 53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28575</xdr:rowOff>
                  </from>
                  <to>
                    <xdr:col>10</xdr:col>
                    <xdr:colOff>295275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Option Button 54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47625</xdr:rowOff>
                  </from>
                  <to>
                    <xdr:col>10</xdr:col>
                    <xdr:colOff>295275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Option Button 55">
              <controlPr defaultSize="0" autoFill="0" autoLine="0" autoPict="0">
                <anchor moveWithCells="1">
                  <from>
                    <xdr:col>10</xdr:col>
                    <xdr:colOff>85725</xdr:colOff>
                    <xdr:row>20</xdr:row>
                    <xdr:rowOff>47625</xdr:rowOff>
                  </from>
                  <to>
                    <xdr:col>10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Group Box 56">
              <controlPr defaultSize="0" autoFill="0" autoPict="0">
                <anchor moveWithCells="1">
                  <from>
                    <xdr:col>9</xdr:col>
                    <xdr:colOff>0</xdr:colOff>
                    <xdr:row>17</xdr:row>
                    <xdr:rowOff>285750</xdr:rowOff>
                  </from>
                  <to>
                    <xdr:col>11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E9DC955-BEC6-4D13-AF0B-6A8B1DCC7E6C}">
          <x14:formula1>
            <xm:f>'CÁLCULO TRADUCTOR EHE-CodE'!$A$21:$A$24</xm:f>
          </x14:formula1>
          <xm:sqref>C5</xm:sqref>
        </x14:dataValidation>
        <x14:dataValidation type="list" allowBlank="1" showInputMessage="1" showErrorMessage="1" xr:uid="{D9FC818B-352F-42F7-A93C-4351930AFE7F}">
          <x14:formula1>
            <xm:f>'CÁLCULO TRADUCTOR EHE-CodE'!$B$19:$B$24</xm:f>
          </x14:formula1>
          <xm:sqref>E5</xm:sqref>
        </x14:dataValidation>
        <x14:dataValidation type="list" allowBlank="1" showInputMessage="1" showErrorMessage="1" xr:uid="{1EE231F6-B674-402A-8D36-83E6E6E44BC8}">
          <x14:formula1>
            <xm:f>'CÁLCULO TRADUCTOR EHE-CodE'!$A$26:$A$30</xm:f>
          </x14:formula1>
          <xm:sqref>F5</xm:sqref>
        </x14:dataValidation>
        <x14:dataValidation type="list" allowBlank="1" showInputMessage="1" showErrorMessage="1" xr:uid="{CBF79DFC-4A5A-4948-9EB4-E84A7DCDEFF7}">
          <x14:formula1>
            <xm:f>'CÁLCULO TRADUCTOR EHE-CodE'!$B$4:$B$11</xm:f>
          </x14:formula1>
          <xm:sqref>G5</xm:sqref>
        </x14:dataValidation>
        <x14:dataValidation type="list" allowBlank="1" showInputMessage="1" showErrorMessage="1" xr:uid="{151D25D8-44AD-42B0-9474-4BD033358AC7}">
          <x14:formula1>
            <xm:f>'CÁLCULO TRADUCTOR EHE-CodE'!$B$12:$B$18</xm:f>
          </x14:formula1>
          <xm:sqref>K5 I5</xm:sqref>
        </x14:dataValidation>
        <x14:dataValidation type="list" allowBlank="1" showInputMessage="1" showErrorMessage="1" xr:uid="{06E44834-36F5-4BF5-827B-59B2B8657F45}">
          <x14:formula1>
            <xm:f>'CÁLCULO TRADUCTOR EHE-CodE'!$A$6:$A$19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EDD5-A276-4A6E-8083-5C90F6AACF5B}">
  <sheetPr codeName="Hoja1">
    <tabColor theme="9"/>
  </sheetPr>
  <dimension ref="A1:W35"/>
  <sheetViews>
    <sheetView zoomScaleNormal="100" workbookViewId="0">
      <selection activeCell="C5" sqref="C5"/>
    </sheetView>
  </sheetViews>
  <sheetFormatPr baseColWidth="10" defaultColWidth="11.42578125" defaultRowHeight="15" x14ac:dyDescent="0.25"/>
  <cols>
    <col min="1" max="1" width="4.7109375" customWidth="1"/>
    <col min="2" max="2" width="4.140625" customWidth="1"/>
    <col min="3" max="3" width="18" customWidth="1"/>
    <col min="7" max="7" width="11.7109375" customWidth="1"/>
    <col min="8" max="8" width="2.140625" customWidth="1"/>
    <col min="9" max="9" width="11.140625" customWidth="1"/>
    <col min="10" max="10" width="3.140625" customWidth="1"/>
    <col min="11" max="11" width="9.28515625" customWidth="1"/>
    <col min="12" max="12" width="8" customWidth="1"/>
    <col min="13" max="13" width="22.85546875" customWidth="1"/>
    <col min="15" max="15" width="12.5703125" customWidth="1"/>
    <col min="17" max="17" width="11.85546875" customWidth="1"/>
    <col min="18" max="18" width="2.28515625" customWidth="1"/>
    <col min="19" max="19" width="10" customWidth="1"/>
    <col min="20" max="20" width="2.42578125" customWidth="1"/>
    <col min="21" max="21" width="9" customWidth="1"/>
    <col min="22" max="22" width="15.42578125" customWidth="1"/>
    <col min="23" max="23" width="4.5703125" customWidth="1"/>
  </cols>
  <sheetData>
    <row r="1" spans="1:23" ht="15.75" thickBot="1" x14ac:dyDescent="0.3"/>
    <row r="2" spans="1:23" ht="15.75" thickBot="1" x14ac:dyDescent="0.3">
      <c r="A2" s="292"/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30"/>
      <c r="N2" s="230"/>
      <c r="O2" s="230"/>
      <c r="P2" s="230"/>
      <c r="Q2" s="230"/>
      <c r="R2" s="230"/>
      <c r="S2" s="230"/>
      <c r="T2" s="230"/>
      <c r="U2" s="230"/>
      <c r="V2" s="231"/>
      <c r="W2" s="232"/>
    </row>
    <row r="3" spans="1:23" ht="18.75" customHeight="1" x14ac:dyDescent="0.3">
      <c r="A3" s="292"/>
      <c r="B3" s="296"/>
      <c r="C3" s="285" t="s">
        <v>71</v>
      </c>
      <c r="D3" s="286"/>
      <c r="E3" s="286"/>
      <c r="F3" s="286"/>
      <c r="G3" s="286"/>
      <c r="H3" s="286"/>
      <c r="I3" s="286"/>
      <c r="J3" s="286"/>
      <c r="K3" s="287"/>
      <c r="L3" s="234"/>
      <c r="M3" s="277" t="s">
        <v>67</v>
      </c>
      <c r="N3" s="278"/>
      <c r="O3" s="278"/>
      <c r="P3" s="278"/>
      <c r="Q3" s="278"/>
      <c r="R3" s="278"/>
      <c r="S3" s="278"/>
      <c r="T3" s="278"/>
      <c r="U3" s="279"/>
      <c r="V3" s="235"/>
      <c r="W3" s="236"/>
    </row>
    <row r="4" spans="1:23" ht="30.75" customHeight="1" x14ac:dyDescent="0.25">
      <c r="A4" s="292"/>
      <c r="B4" s="296"/>
      <c r="C4" s="266" t="s">
        <v>72</v>
      </c>
      <c r="D4" s="267" t="s">
        <v>77</v>
      </c>
      <c r="E4" s="267" t="s">
        <v>73</v>
      </c>
      <c r="F4" s="267" t="s">
        <v>74</v>
      </c>
      <c r="G4" s="288" t="s">
        <v>96</v>
      </c>
      <c r="H4" s="289"/>
      <c r="I4" s="289"/>
      <c r="J4" s="289"/>
      <c r="K4" s="290"/>
      <c r="L4" s="234"/>
      <c r="M4" s="268" t="s">
        <v>72</v>
      </c>
      <c r="N4" s="269" t="s">
        <v>22</v>
      </c>
      <c r="O4" s="269" t="s">
        <v>73</v>
      </c>
      <c r="P4" s="269" t="s">
        <v>74</v>
      </c>
      <c r="Q4" s="297" t="s">
        <v>96</v>
      </c>
      <c r="R4" s="298"/>
      <c r="S4" s="298"/>
      <c r="T4" s="298"/>
      <c r="U4" s="299"/>
      <c r="V4" s="235"/>
      <c r="W4" s="236"/>
    </row>
    <row r="5" spans="1:23" ht="26.25" customHeight="1" thickBot="1" x14ac:dyDescent="0.3">
      <c r="A5" s="292"/>
      <c r="B5" s="296"/>
      <c r="C5" s="1" t="s">
        <v>2</v>
      </c>
      <c r="D5" s="3" t="s">
        <v>2</v>
      </c>
      <c r="E5" s="2" t="s">
        <v>2</v>
      </c>
      <c r="F5" s="2" t="s">
        <v>2</v>
      </c>
      <c r="G5" s="2" t="s">
        <v>2</v>
      </c>
      <c r="H5" s="243" t="str">
        <f>IF(I5="","",IF(I5="-","","+"))</f>
        <v/>
      </c>
      <c r="I5" s="10" t="s">
        <v>2</v>
      </c>
      <c r="J5" s="243" t="str">
        <f>IF(K5="","",IF(K5="-","","+"))</f>
        <v/>
      </c>
      <c r="K5" s="11" t="s">
        <v>2</v>
      </c>
      <c r="L5" s="234"/>
      <c r="M5" s="5" t="str">
        <f>C5</f>
        <v>-</v>
      </c>
      <c r="N5" s="242">
        <f>'CÁLCULO TRADUCTOR CodE-EHE'!B104</f>
        <v>0</v>
      </c>
      <c r="O5" s="6" t="str">
        <f>E5</f>
        <v>-</v>
      </c>
      <c r="P5" s="6" t="str">
        <f>F5</f>
        <v>-</v>
      </c>
      <c r="Q5" s="6" t="str">
        <f>'CÁLCULO TRADUCTOR CodE-EHE'!T69</f>
        <v/>
      </c>
      <c r="R5" s="7" t="str">
        <f>IF(S5="","",IF(S5="-","","+"))</f>
        <v/>
      </c>
      <c r="S5" s="8" t="str">
        <f>'CÁLCULO TRADUCTOR CodE-EHE'!U69</f>
        <v/>
      </c>
      <c r="T5" s="7" t="str">
        <f>IF(U5="","",IF(U5="-","","+"))</f>
        <v/>
      </c>
      <c r="U5" s="244" t="str">
        <f>'CÁLCULO TRADUCTOR CodE-EHE'!V69</f>
        <v/>
      </c>
      <c r="V5" s="235"/>
      <c r="W5" s="236"/>
    </row>
    <row r="6" spans="1:23" ht="26.25" customHeight="1" thickBot="1" x14ac:dyDescent="0.3">
      <c r="A6" s="292"/>
      <c r="B6" s="296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83"/>
      <c r="N6" s="283"/>
      <c r="O6" s="283"/>
      <c r="P6" s="283"/>
      <c r="Q6" s="283"/>
      <c r="R6" s="283"/>
      <c r="S6" s="283"/>
      <c r="T6" s="245"/>
      <c r="U6" s="234"/>
      <c r="V6" s="246"/>
      <c r="W6" s="236"/>
    </row>
    <row r="7" spans="1:23" ht="23.1" customHeight="1" x14ac:dyDescent="0.25">
      <c r="A7" s="292"/>
      <c r="B7" s="296"/>
      <c r="C7" s="293" t="s">
        <v>90</v>
      </c>
      <c r="D7" s="293"/>
      <c r="E7" s="293"/>
      <c r="F7" s="293"/>
      <c r="G7" s="293"/>
      <c r="H7" s="293"/>
      <c r="I7" s="293"/>
      <c r="J7" s="234"/>
      <c r="K7" s="234"/>
      <c r="L7" s="234"/>
      <c r="M7" s="247" t="s">
        <v>126</v>
      </c>
      <c r="N7" s="248" t="s">
        <v>140</v>
      </c>
      <c r="O7" s="249" t="s">
        <v>141</v>
      </c>
      <c r="P7" s="305" t="s">
        <v>148</v>
      </c>
      <c r="Q7" s="306"/>
      <c r="R7" s="306"/>
      <c r="S7" s="306"/>
      <c r="T7" s="306"/>
      <c r="U7" s="307"/>
      <c r="V7" s="246"/>
      <c r="W7" s="236"/>
    </row>
    <row r="8" spans="1:23" ht="23.1" customHeight="1" x14ac:dyDescent="0.25">
      <c r="A8" s="292"/>
      <c r="B8" s="296"/>
      <c r="C8" s="280" t="str">
        <f>IF(G5="-","",VLOOKUP(G5,'CÁLCULO TRADUCTOR CodE-EHE'!A77:F97,2,FALSE))</f>
        <v/>
      </c>
      <c r="D8" s="280"/>
      <c r="E8" s="280"/>
      <c r="F8" s="280"/>
      <c r="G8" s="280"/>
      <c r="H8" s="280"/>
      <c r="I8" s="280"/>
      <c r="J8" s="280"/>
      <c r="K8" s="280"/>
      <c r="L8" s="234"/>
      <c r="M8" s="250" t="s">
        <v>142</v>
      </c>
      <c r="N8" s="251" t="str">
        <f>IF(C5="HM",'Prescripciones generales'!O32,IF(C5="HA",'Prescripciones generales'!Q32,IF(C5="HP",'Prescripciones generales'!S32,"")))</f>
        <v/>
      </c>
      <c r="O8" s="252" t="str">
        <f>IF(M5="HM",'CÁLCULO TRADUCTOR CodE-EHE'!H74,IF(M5="HA",'CÁLCULO TRADUCTOR CodE-EHE'!K74,IF(M5="HP",'CÁLCULO TRADUCTOR CodE-EHE'!N74,"")))</f>
        <v/>
      </c>
      <c r="P8" s="308" t="s">
        <v>124</v>
      </c>
      <c r="Q8" s="308"/>
      <c r="R8" s="308"/>
      <c r="S8" s="303" t="str">
        <f>'PRESCRIPCIONES CodE-EHE'!F25</f>
        <v>-</v>
      </c>
      <c r="T8" s="303"/>
      <c r="U8" s="304"/>
      <c r="V8" s="246"/>
      <c r="W8" s="236"/>
    </row>
    <row r="9" spans="1:23" s="9" customFormat="1" ht="24.95" customHeight="1" x14ac:dyDescent="0.25">
      <c r="A9" s="292"/>
      <c r="B9" s="296"/>
      <c r="C9" s="320" t="str">
        <f>IF(G$5="","",IF(G$5="X0",'CÁLCULO TRADUCTOR CodE-EHE'!F6,IF(G$5="XC1",'CÁLCULO TRADUCTOR CodE-EHE'!F9,IF(G$5="XC2",'CÁLCULO TRADUCTOR CodE-EHE'!F12,IF(G$5="XC3",'CÁLCULO TRADUCTOR CodE-EHE'!F15,IF(G$5="XC4",'CÁLCULO TRADUCTOR CodE-EHE'!F18,IF(G$5="XS1",'CÁLCULO TRADUCTOR CodE-EHE'!F21,IF(G$5="XS2",'CÁLCULO TRADUCTOR CodE-EHE'!F24,IF(G$5="XS3",'CÁLCULO TRADUCTOR CodE-EHE'!F27,IF(G$5="XD1",'CÁLCULO TRADUCTOR CodE-EHE'!F30,IF(G$5="XD2",'CÁLCULO TRADUCTOR CodE-EHE'!F33,IF(G$5="XD3",'CÁLCULO TRADUCTOR CodE-EHE'!F36,IF(G$5="XA1",'CÁLCULO TRADUCTOR CodE-EHE'!F39,IF(G$5="XA2",'CÁLCULO TRADUCTOR CodE-EHE'!F42,IF(G$5="XA3",'CÁLCULO TRADUCTOR CodE-EHE'!F45,IF(G$5="XF1",'CÁLCULO TRADUCTOR CodE-EHE'!F48,IF(G$5="XF2",'CÁLCULO TRADUCTOR CodE-EHE'!F54,IF(G$5="XF3",'CÁLCULO TRADUCTOR CodE-EHE'!F51,IF('CONVERSOR CodE a EHE-08'!G$5="XF4",'CÁLCULO TRADUCTOR CodE-EHE'!F57,IF('CONVERSOR CodE a EHE-08'!G$5="XM1",'CÁLCULO TRADUCTOR CodE-EHE'!F60,IF('CONVERSOR CodE a EHE-08'!G$5="XM2",'CÁLCULO TRADUCTOR CodE-EHE'!F63,IF('CONVERSOR CodE a EHE-08'!G$5="XM3",'CÁLCULO TRADUCTOR CodE-EHE'!F66,""))))))))))))))))))))))</f>
        <v/>
      </c>
      <c r="D9" s="320"/>
      <c r="E9" s="320"/>
      <c r="F9" s="320"/>
      <c r="G9" s="320"/>
      <c r="H9" s="320"/>
      <c r="I9" s="320"/>
      <c r="J9" s="321"/>
      <c r="K9" s="321"/>
      <c r="L9" s="234"/>
      <c r="M9" s="250" t="s">
        <v>143</v>
      </c>
      <c r="N9" s="254" t="str">
        <f>IF(C5="HM",'Prescripciones generales'!P32,IF(C5="HA",'Prescripciones generales'!R32,IF(C5="HP",'Prescripciones generales'!T32,"")))</f>
        <v/>
      </c>
      <c r="O9" s="255" t="str">
        <f>IF(M5="HM",'CÁLCULO TRADUCTOR CodE-EHE'!I74,IF(M5="HA",'CÁLCULO TRADUCTOR CodE-EHE'!L74,IF(M5="HP",'CÁLCULO TRADUCTOR CodE-EHE'!O74,"")))</f>
        <v/>
      </c>
      <c r="P9" s="308" t="s">
        <v>149</v>
      </c>
      <c r="Q9" s="308"/>
      <c r="R9" s="308"/>
      <c r="S9" s="303" t="str">
        <f>'PRESCRIPCIONES CodE-EHE'!G25</f>
        <v>-</v>
      </c>
      <c r="T9" s="303"/>
      <c r="U9" s="304"/>
      <c r="V9" s="246"/>
      <c r="W9" s="236"/>
    </row>
    <row r="10" spans="1:23" s="9" customFormat="1" ht="24.95" customHeight="1" x14ac:dyDescent="0.25">
      <c r="A10" s="292"/>
      <c r="B10" s="296"/>
      <c r="C10" s="320" t="str">
        <f>IF(G$5="","",IF(G$5="X0",'CÁLCULO TRADUCTOR CodE-EHE'!F7,IF(G$5="XC1",'CÁLCULO TRADUCTOR CodE-EHE'!F10,IF(G$5="XC2",'CÁLCULO TRADUCTOR CodE-EHE'!F13,IF(G$5="XC3",'CÁLCULO TRADUCTOR CodE-EHE'!F16,IF(G$5="XC4",'CÁLCULO TRADUCTOR CodE-EHE'!F19,IF(G$5="XS1",'CÁLCULO TRADUCTOR CodE-EHE'!F22,IF(G$5="XS2",'CÁLCULO TRADUCTOR CodE-EHE'!F25,IF(G$5="XS3",'CÁLCULO TRADUCTOR CodE-EHE'!F28,IF(G$5="XD1",'CÁLCULO TRADUCTOR CodE-EHE'!F31,IF(G$5="XD2",'CÁLCULO TRADUCTOR CodE-EHE'!F34,IF(G$5="XD3",'CÁLCULO TRADUCTOR CodE-EHE'!F37,IF(G$5="XA1",'CÁLCULO TRADUCTOR CodE-EHE'!F40,IF(G$5="XA2",'CÁLCULO TRADUCTOR CodE-EHE'!F43,IF(G$5="XA3",'CÁLCULO TRADUCTOR CodE-EHE'!F46,IF(G$5="XF1",'CÁLCULO TRADUCTOR CodE-EHE'!F49,IF(G$5="XF2",'CÁLCULO TRADUCTOR CodE-EHE'!F55,IF(G$5="XF3",'CÁLCULO TRADUCTOR CodE-EHE'!F52,IF('CONVERSOR CodE a EHE-08'!G$5="XF4",'CÁLCULO TRADUCTOR CodE-EHE'!F58,IF('CONVERSOR CodE a EHE-08'!G$5="XM1",'CÁLCULO TRADUCTOR CodE-EHE'!F61,IF('CONVERSOR CodE a EHE-08'!G$5="XM2",'CÁLCULO TRADUCTOR CodE-EHE'!F64,IF('CONVERSOR CodE a EHE-08'!G$5="XM3",'CÁLCULO TRADUCTOR CodE-EHE'!F67,""))))))))))))))))))))))</f>
        <v/>
      </c>
      <c r="D10" s="320"/>
      <c r="E10" s="320"/>
      <c r="F10" s="320"/>
      <c r="G10" s="320"/>
      <c r="H10" s="320"/>
      <c r="I10" s="320"/>
      <c r="J10" s="320"/>
      <c r="K10" s="320"/>
      <c r="L10" s="234"/>
      <c r="M10" s="322" t="s">
        <v>146</v>
      </c>
      <c r="N10" s="270" t="s">
        <v>122</v>
      </c>
      <c r="O10" s="271" t="s">
        <v>145</v>
      </c>
      <c r="P10" s="323" t="s">
        <v>125</v>
      </c>
      <c r="Q10" s="308"/>
      <c r="R10" s="308"/>
      <c r="S10" s="303" t="str">
        <f>'PRESCRIPCIONES CodE-EHE'!H25</f>
        <v>-</v>
      </c>
      <c r="T10" s="303"/>
      <c r="U10" s="304"/>
      <c r="V10" s="246"/>
      <c r="W10" s="236"/>
    </row>
    <row r="11" spans="1:23" s="9" customFormat="1" ht="24.95" customHeight="1" thickBot="1" x14ac:dyDescent="0.3">
      <c r="A11" s="292"/>
      <c r="B11" s="296"/>
      <c r="C11" s="320" t="str">
        <f>IF(G$5="","",IF(G$5="X0",'CÁLCULO TRADUCTOR CodE-EHE'!F8,IF(G$5="XC1",'CÁLCULO TRADUCTOR CodE-EHE'!F11,IF(G$5="XC2",'CÁLCULO TRADUCTOR CodE-EHE'!F14,IF(G$5="XC3",'CÁLCULO TRADUCTOR CodE-EHE'!F17,IF(G$5="XC4",'CÁLCULO TRADUCTOR CodE-EHE'!F20,IF(G$5="XS1",'CÁLCULO TRADUCTOR CodE-EHE'!F23,IF(G$5="XS2",'CÁLCULO TRADUCTOR CodE-EHE'!F26,IF(G$5="XS3",'CÁLCULO TRADUCTOR CodE-EHE'!F29,IF(G$5="XD1",'CÁLCULO TRADUCTOR CodE-EHE'!F32,IF(G$5="XD2",'CÁLCULO TRADUCTOR CodE-EHE'!F35,IF(G$5="XD3",'CÁLCULO TRADUCTOR CodE-EHE'!F38,IF(G$5="XA1",'CÁLCULO TRADUCTOR CodE-EHE'!F41,IF(G$5="XA2",'CÁLCULO TRADUCTOR CodE-EHE'!F44,IF(G$5="XA3",'CÁLCULO TRADUCTOR CodE-EHE'!F47,IF(G$5="XF1",'CÁLCULO TRADUCTOR CodE-EHE'!F50,IF(G$5="XF2",'CÁLCULO TRADUCTOR CodE-EHE'!F56,IF(G$5="XF3",'CÁLCULO TRADUCTOR CodE-EHE'!F53,IF('CONVERSOR CodE a EHE-08'!G$5="XF4",'CÁLCULO TRADUCTOR CodE-EHE'!F59,IF('CONVERSOR CodE a EHE-08'!G$5="XM1",'CÁLCULO TRADUCTOR CodE-EHE'!F62,IF('CONVERSOR CodE a EHE-08'!G$5="XM2",'CÁLCULO TRADUCTOR CodE-EHE'!F65,IF('CONVERSOR CodE a EHE-08'!G$5="XM3",'CÁLCULO TRADUCTOR CodE-EHE'!F68,""))))))))))))))))))))))</f>
        <v/>
      </c>
      <c r="D11" s="320"/>
      <c r="E11" s="320"/>
      <c r="F11" s="320"/>
      <c r="G11" s="320"/>
      <c r="H11" s="320"/>
      <c r="I11" s="320"/>
      <c r="J11" s="321"/>
      <c r="K11" s="321"/>
      <c r="L11" s="234"/>
      <c r="M11" s="322"/>
      <c r="N11" s="253" t="str">
        <f>'PRESCRIPCIONES CodE-EHE'!E25</f>
        <v>-</v>
      </c>
      <c r="O11" s="272" t="str">
        <f>'PRESCRIPCIONES CodE-EHE'!E26</f>
        <v>-</v>
      </c>
      <c r="P11" s="311" t="s">
        <v>147</v>
      </c>
      <c r="Q11" s="311"/>
      <c r="R11" s="311"/>
      <c r="S11" s="260" t="str">
        <f>IF(T11="","","≤")</f>
        <v/>
      </c>
      <c r="T11" s="312" t="str">
        <f>'PRESCRIPCIONES CodE-EHE'!J25</f>
        <v/>
      </c>
      <c r="U11" s="313"/>
      <c r="V11" s="246"/>
      <c r="W11" s="236"/>
    </row>
    <row r="12" spans="1:23" ht="23.25" customHeight="1" thickBot="1" x14ac:dyDescent="0.3">
      <c r="A12" s="292"/>
      <c r="B12" s="296"/>
      <c r="C12" s="284"/>
      <c r="D12" s="284"/>
      <c r="E12" s="284"/>
      <c r="F12" s="284"/>
      <c r="G12" s="284"/>
      <c r="H12" s="284"/>
      <c r="I12" s="284"/>
      <c r="J12" s="234"/>
      <c r="K12" s="234"/>
      <c r="L12" s="234"/>
      <c r="M12" s="300" t="str">
        <f>IF(AND(N11="-",O11="-"),"",IF(AND(N11="SI",O11="-"),"El cemento SR/SRC cubre las necesidades del MR.",IF(AND(N11="SI",O11="Tabla 27.1.b"),"SR/SRC si la tipificación del ambiente es por ataque de sulfatos. El cemento SR/SRC cubre las necesidades del MR",IF(AND(N11="SI*",O11="-"),"Uso de cemento MR en caso de contacto con agua de mar. El cemento SR/SRC cubre las necesidades del MR",IF(AND(N11="-",O11="Tabla 27.1.b"),"SR/SRC si la tipificación del ambiente es por ataque de sulfatos","")))))</f>
        <v/>
      </c>
      <c r="N12" s="301"/>
      <c r="O12" s="301"/>
      <c r="P12" s="301"/>
      <c r="Q12" s="301"/>
      <c r="R12" s="301"/>
      <c r="S12" s="301"/>
      <c r="T12" s="301"/>
      <c r="U12" s="302"/>
      <c r="V12" s="246"/>
      <c r="W12" s="236"/>
    </row>
    <row r="13" spans="1:23" ht="23.1" customHeight="1" thickBot="1" x14ac:dyDescent="0.3">
      <c r="A13" s="292"/>
      <c r="B13" s="296"/>
      <c r="C13" s="280" t="str">
        <f>IF(OR(I5="-",I5=""),"",VLOOKUP(I5,'CÁLCULO TRADUCTOR CodE-EHE'!A77:F97,2,FALSE))</f>
        <v/>
      </c>
      <c r="D13" s="280"/>
      <c r="E13" s="280"/>
      <c r="F13" s="280"/>
      <c r="G13" s="280"/>
      <c r="H13" s="280"/>
      <c r="I13" s="280"/>
      <c r="J13" s="280"/>
      <c r="K13" s="280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46"/>
      <c r="W13" s="236"/>
    </row>
    <row r="14" spans="1:23" ht="23.1" customHeight="1" x14ac:dyDescent="0.25">
      <c r="A14" s="292"/>
      <c r="B14" s="296"/>
      <c r="C14" s="320" t="str">
        <f>IF(I$5="","",IF(I$5="X0",'CÁLCULO TRADUCTOR CodE-EHE'!F6,IF(I$5="XC1",'CÁLCULO TRADUCTOR CodE-EHE'!F9,IF(I$5="XC2",'CÁLCULO TRADUCTOR CodE-EHE'!F12,IF(I$5="XC3",'CÁLCULO TRADUCTOR CodE-EHE'!F15,IF(I$5="XC4",'CÁLCULO TRADUCTOR CodE-EHE'!F18,IF(I$5="XS1",'CÁLCULO TRADUCTOR CodE-EHE'!F21,IF(I$5="XS2",'CÁLCULO TRADUCTOR CodE-EHE'!F24,IF(I$5="XS3",'CÁLCULO TRADUCTOR CodE-EHE'!F27,IF(I$5="XD1",'CÁLCULO TRADUCTOR CodE-EHE'!F30,IF(I$5="XD2",'CÁLCULO TRADUCTOR CodE-EHE'!F33,IF(I$5="XD3",'CÁLCULO TRADUCTOR CodE-EHE'!F36,IF(I$5="XA1",'CÁLCULO TRADUCTOR CodE-EHE'!F39,IF(I$5="XA2",'CÁLCULO TRADUCTOR CodE-EHE'!F42,IF(I$5="XA3",'CÁLCULO TRADUCTOR CodE-EHE'!F45,IF(I$5="XF1",'CÁLCULO TRADUCTOR CodE-EHE'!F48,IF(I$5="XF2",'CÁLCULO TRADUCTOR CodE-EHE'!F54,IF(I$5="XF3",'CÁLCULO TRADUCTOR CodE-EHE'!F51,IF('CONVERSOR CodE a EHE-08'!I$5="XF4",'CÁLCULO TRADUCTOR CodE-EHE'!F57,IF('CONVERSOR CodE a EHE-08'!I$5="XM1",'CÁLCULO TRADUCTOR CodE-EHE'!F60,IF('CONVERSOR CodE a EHE-08'!I$5="XM2",'CÁLCULO TRADUCTOR CodE-EHE'!F63,IF('CONVERSOR CodE a EHE-08'!I$5="XM3",'CÁLCULO TRADUCTOR CodE-EHE'!F66,""))))))))))))))))))))))</f>
        <v/>
      </c>
      <c r="D14" s="320"/>
      <c r="E14" s="320"/>
      <c r="F14" s="320"/>
      <c r="G14" s="320"/>
      <c r="H14" s="320"/>
      <c r="I14" s="320"/>
      <c r="J14" s="324"/>
      <c r="K14" s="324"/>
      <c r="L14" s="234"/>
      <c r="M14" s="317" t="str">
        <f>IF(AND(C5="HM",(AND(G5&lt;&gt;"X0",I5&lt;&gt;"X0",K5&lt;&gt;"X0"))),"Las clases de exposición son incongruentes con el tipo de hormigón especificado HM.",IF(AND(C5="HM",(OR(G5="XC1",I5="XC1",K5="XC1"))),"Las clases de exposición son incongruentes con el tipo de hormigón especificado HM.",IF(AND(C5="HM",(OR(G5="XC2",I5="XC2",K5="XC2"))),"Las clases de exposición son incongruentes con el tipo de hormigón especificado HM.",IF(AND(C5="HM",(OR(G5="XC3",I5="XC3",K5="XC3"))),"Las clases de exposición son incongruentes con el tipo de hormigón especificado HM.",IF(AND(C5="HM",(OR(G5="XC4",I5="XC4",K5="XC4"))),"Las clases de exposición son incongruentes con el tipo de hormigón especificado HM.",IF(AND(C5="HM",(OR(G5="XS1",I5="XS1",K5="XS1"))),"Las clases de exposición son incongruentes con el tipo de hormigón especificado HM.",IF(AND(C5="HM",(OR(G5="XS2",I5="XS2",K5="XS2"))),"Las clases de exposición son incongruentes con el tipo de hormigón especificado HM.",IF(AND(C5="HM",(OR(G5="XS3",I5="XS3",K5="XS3"))),"Las clases de exposición son incongruentes con el tipo de hormigón especificado HM.",IF(AND(C5="HM",(OR(G5="XD1",I5="XD1",K5="XD1"))),"Las clases de exposición son incongruentes con el tipo de hormigón especificado HM.",IF(AND(C5="HM",(OR(G5="XD2",I5="XD2",K5="XD2"))),"Las clases de exposición son incongruentes con el tipo de hormigón especificado HM.",IF(AND(C5="HM",(OR(G5="XD3",I5="XD3",K5="XD3"))),"Las clases de exposición son incongruentes con el tipo de hormigón especificado HM.",IF(AND(C5="HA",D5&lt;25),"La resistencia característica seleccionada es incongruente con el TIPO introducido",""))))))))))))</f>
        <v/>
      </c>
      <c r="N14" s="318"/>
      <c r="O14" s="318"/>
      <c r="P14" s="318"/>
      <c r="Q14" s="318"/>
      <c r="R14" s="318"/>
      <c r="S14" s="318"/>
      <c r="T14" s="318"/>
      <c r="U14" s="318"/>
      <c r="V14" s="319"/>
      <c r="W14" s="236"/>
    </row>
    <row r="15" spans="1:23" ht="23.1" customHeight="1" x14ac:dyDescent="0.25">
      <c r="A15" s="292"/>
      <c r="B15" s="296"/>
      <c r="C15" s="320" t="str">
        <f>IF(I$5="","",IF(I$5="X0",'CÁLCULO TRADUCTOR CodE-EHE'!F7,IF(I$5="XC1",'CÁLCULO TRADUCTOR CodE-EHE'!F10,IF(I$5="XC2",'CÁLCULO TRADUCTOR CodE-EHE'!F13,IF(I$5="XC3",'CÁLCULO TRADUCTOR CodE-EHE'!F16,IF(I$5="XC4",'CÁLCULO TRADUCTOR CodE-EHE'!F19,IF(I$5="XS1",'CÁLCULO TRADUCTOR CodE-EHE'!F22,IF(I$5="XS2",'CÁLCULO TRADUCTOR CodE-EHE'!F25,IF(I$5="XS3",'CÁLCULO TRADUCTOR CodE-EHE'!F28,IF(I$5="XD1",'CÁLCULO TRADUCTOR CodE-EHE'!F31,IF(I$5="XD2",'CÁLCULO TRADUCTOR CodE-EHE'!F34,IF(I$5="XD3",'CÁLCULO TRADUCTOR CodE-EHE'!F37,IF(I$5="XA1",'CÁLCULO TRADUCTOR CodE-EHE'!F40,IF(I$5="XA2",'CÁLCULO TRADUCTOR CodE-EHE'!F43,IF(I$5="XA3",'CÁLCULO TRADUCTOR CodE-EHE'!F46,IF(I$5="XF1",'CÁLCULO TRADUCTOR CodE-EHE'!F49,IF(I$5="XF2",'CÁLCULO TRADUCTOR CodE-EHE'!F55,IF(I$5="XF3",'CÁLCULO TRADUCTOR CodE-EHE'!F52,IF('CONVERSOR CodE a EHE-08'!I$5="XF4",'CÁLCULO TRADUCTOR CodE-EHE'!F58,IF('CONVERSOR CodE a EHE-08'!I$5="XM1",'CÁLCULO TRADUCTOR CodE-EHE'!F61,IF('CONVERSOR CodE a EHE-08'!I$5="XM2",'CÁLCULO TRADUCTOR CodE-EHE'!F64,IF('CONVERSOR CodE a EHE-08'!I$5="XM3",'CÁLCULO TRADUCTOR CodE-EHE'!F67,""))))))))))))))))))))))</f>
        <v/>
      </c>
      <c r="D15" s="320"/>
      <c r="E15" s="320"/>
      <c r="F15" s="320"/>
      <c r="G15" s="320"/>
      <c r="H15" s="320"/>
      <c r="I15" s="320"/>
      <c r="J15" s="324"/>
      <c r="K15" s="324"/>
      <c r="L15" s="234"/>
      <c r="M15" s="314" t="str">
        <f>IF('CÁLCULO TRADUCTOR CodE-EHE'!C110,"No debe seleccionar dos clases específicas de exposición del mismo grupo.",IF(OR(S5="-",Q5="-",U5="-"),"En las distintas opciones referidas a la exposición ambiental ha seleccionado un campo vacío. ",""))</f>
        <v/>
      </c>
      <c r="N15" s="315"/>
      <c r="O15" s="315"/>
      <c r="P15" s="315"/>
      <c r="Q15" s="315"/>
      <c r="R15" s="315"/>
      <c r="S15" s="315"/>
      <c r="T15" s="315"/>
      <c r="U15" s="315"/>
      <c r="V15" s="316"/>
      <c r="W15" s="236"/>
    </row>
    <row r="16" spans="1:23" ht="24.95" customHeight="1" x14ac:dyDescent="0.25">
      <c r="A16" s="292"/>
      <c r="B16" s="296"/>
      <c r="C16" s="320" t="str">
        <f>IF(I$5="","",IF(I$5="X0",'CÁLCULO TRADUCTOR CodE-EHE'!F8,IF(I$5="XC1",'CÁLCULO TRADUCTOR CodE-EHE'!F11,IF(I$5="XC2",'CÁLCULO TRADUCTOR CodE-EHE'!F14,IF(I$5="XC3",'CÁLCULO TRADUCTOR CodE-EHE'!F17,IF(I$5="XC4",'CÁLCULO TRADUCTOR CodE-EHE'!F20,IF(I$5="XS1",'CÁLCULO TRADUCTOR CodE-EHE'!F23,IF(I$5="XS2",'CÁLCULO TRADUCTOR CodE-EHE'!F26,IF(I$5="XS3",'CÁLCULO TRADUCTOR CodE-EHE'!F29,IF(I$5="XD1",'CÁLCULO TRADUCTOR CodE-EHE'!F32,IF(I$5="XD2",'CÁLCULO TRADUCTOR CodE-EHE'!F35,IF(I$5="XD3",'CÁLCULO TRADUCTOR CodE-EHE'!F38,IF(I$5="XA1",'CÁLCULO TRADUCTOR CodE-EHE'!F41,IF(I$5="XA2",'CÁLCULO TRADUCTOR CodE-EHE'!F44,IF(I$5="XA3",'CÁLCULO TRADUCTOR CodE-EHE'!F47,IF(I$5="XF1",'CÁLCULO TRADUCTOR CodE-EHE'!F50,IF(I$5="XF2",'CÁLCULO TRADUCTOR CodE-EHE'!F56,IF(I$5="XF3",'CÁLCULO TRADUCTOR CodE-EHE'!F53,IF('CONVERSOR CodE a EHE-08'!I$5="XF4",'CÁLCULO TRADUCTOR CodE-EHE'!F59,IF('CONVERSOR CodE a EHE-08'!I$5="XM1",'CÁLCULO TRADUCTOR CodE-EHE'!F62,IF('CONVERSOR CodE a EHE-08'!I$5="XM2",'CÁLCULO TRADUCTOR CodE-EHE'!F65,IF('CONVERSOR CodE a EHE-08'!I$5="XM3",'CÁLCULO TRADUCTOR CodE-EHE'!F68,""))))))))))))))))))))))</f>
        <v/>
      </c>
      <c r="D16" s="320"/>
      <c r="E16" s="320"/>
      <c r="F16" s="320"/>
      <c r="G16" s="320"/>
      <c r="H16" s="320"/>
      <c r="I16" s="320"/>
      <c r="J16" s="324"/>
      <c r="K16" s="324"/>
      <c r="L16" s="234"/>
      <c r="M16" s="314" t="str">
        <f>IF(OR(E5="B",E5="P"),"En el CodE varía ligeramente el intervalo del asentamiento: P(30-40 mm.)  B(50-90 mm.).","")</f>
        <v/>
      </c>
      <c r="N16" s="315"/>
      <c r="O16" s="315"/>
      <c r="P16" s="315"/>
      <c r="Q16" s="315"/>
      <c r="R16" s="315"/>
      <c r="S16" s="315"/>
      <c r="T16" s="315"/>
      <c r="U16" s="315"/>
      <c r="V16" s="316"/>
      <c r="W16" s="236"/>
    </row>
    <row r="17" spans="1:23" ht="23.1" customHeight="1" x14ac:dyDescent="0.25">
      <c r="A17" s="4"/>
      <c r="B17" s="261"/>
      <c r="C17" s="284"/>
      <c r="D17" s="284"/>
      <c r="E17" s="284"/>
      <c r="F17" s="284"/>
      <c r="G17" s="284"/>
      <c r="H17" s="284"/>
      <c r="I17" s="284"/>
      <c r="J17" s="234"/>
      <c r="K17" s="234"/>
      <c r="L17" s="246"/>
      <c r="M17" s="314" t="str">
        <f>IF(AND(C5="HM",G5="X0",('CÁLCULO TRADUCTOR CodE-EHE'!T5=2)),"Para el tipo HM, en lo que se refiere a ausencia de riesgo por corrosión en la armadura tan sólo puede escoger la primera opción Elementos de hormigón en masa.",IF(AND(C5="HM",I5="X0",('CÁLCULO TRADUCTOR CodE-EHE'!U5=2)),"Para el tipo HM, en lo que se refiere a ausencia de riesgo por corrosión en la armadura tan sólo puede escoger la primera opción Elementos de hormigón en masa.",IF(AND(C5="HM",K5="X0",('CÁLCULO TRADUCTOR CodE-EHE'!V5=2)),"Para el tipo HM, en lo que se refiere a ausencia de riesgo por corrosión en la armadura tan sólo puede escoger la primera opción Elementos de hormigón en masa.","")))</f>
        <v/>
      </c>
      <c r="N17" s="315"/>
      <c r="O17" s="315"/>
      <c r="P17" s="315"/>
      <c r="Q17" s="315"/>
      <c r="R17" s="315"/>
      <c r="S17" s="315"/>
      <c r="T17" s="315"/>
      <c r="U17" s="315"/>
      <c r="V17" s="316"/>
      <c r="W17" s="236"/>
    </row>
    <row r="18" spans="1:23" ht="23.1" customHeight="1" x14ac:dyDescent="0.25">
      <c r="A18" s="4"/>
      <c r="B18" s="261"/>
      <c r="C18" s="280" t="str">
        <f>IF(OR(K5="-",K5=""),"",VLOOKUP(K5,'CÁLCULO TRADUCTOR CodE-EHE'!A77:F97,2,FALSE))</f>
        <v/>
      </c>
      <c r="D18" s="280"/>
      <c r="E18" s="280"/>
      <c r="F18" s="280"/>
      <c r="G18" s="280"/>
      <c r="H18" s="280"/>
      <c r="I18" s="280"/>
      <c r="J18" s="280"/>
      <c r="K18" s="280"/>
      <c r="L18" s="246"/>
      <c r="M18" s="314"/>
      <c r="N18" s="315"/>
      <c r="O18" s="315"/>
      <c r="P18" s="315"/>
      <c r="Q18" s="315"/>
      <c r="R18" s="315"/>
      <c r="S18" s="315"/>
      <c r="T18" s="315"/>
      <c r="U18" s="315"/>
      <c r="V18" s="316"/>
      <c r="W18" s="236"/>
    </row>
    <row r="19" spans="1:23" ht="23.1" customHeight="1" x14ac:dyDescent="0.25">
      <c r="A19" s="4"/>
      <c r="B19" s="261"/>
      <c r="C19" s="320" t="str">
        <f>IF(K$5="","",IF(K$5="X0",'CÁLCULO TRADUCTOR CodE-EHE'!F6,IF(K$5="XC1",'CÁLCULO TRADUCTOR CodE-EHE'!F9,IF(K$5="XC2",'CÁLCULO TRADUCTOR CodE-EHE'!F12,IF(K$5="XC3",'CÁLCULO TRADUCTOR CodE-EHE'!F15,IF(K$5="XC4",'CÁLCULO TRADUCTOR CodE-EHE'!F18,IF(K$5="XS1",'CÁLCULO TRADUCTOR CodE-EHE'!F21,IF(K$5="XS2",'CÁLCULO TRADUCTOR CodE-EHE'!F24,IF(K$5="XS3",'CÁLCULO TRADUCTOR CodE-EHE'!F27,IF(K$5="XD1",'CÁLCULO TRADUCTOR CodE-EHE'!F30,IF(K$5="XD2",'CÁLCULO TRADUCTOR CodE-EHE'!F33,IF(K$5="XD3",'CÁLCULO TRADUCTOR CodE-EHE'!F36,IF(K$5="XA1",'CÁLCULO TRADUCTOR CodE-EHE'!F39,IF(K$5="XA2",'CÁLCULO TRADUCTOR CodE-EHE'!F42,IF(K$5="XA3",'CÁLCULO TRADUCTOR CodE-EHE'!F45,IF(K$5="XF1",'CÁLCULO TRADUCTOR CodE-EHE'!F48,IF(K$5="XF2",'CÁLCULO TRADUCTOR CodE-EHE'!F54,IF(K$5="XF3",'CÁLCULO TRADUCTOR CodE-EHE'!F51,IF('CONVERSOR CodE a EHE-08'!K$5="XF4",'CÁLCULO TRADUCTOR CodE-EHE'!F57,IF('CONVERSOR CodE a EHE-08'!K$5="XM1",'CÁLCULO TRADUCTOR CodE-EHE'!F60,IF('CONVERSOR CodE a EHE-08'!K$5="XM2",'CÁLCULO TRADUCTOR CodE-EHE'!F63,IF('CONVERSOR CodE a EHE-08'!K$5="XM3",'CÁLCULO TRADUCTOR CodE-EHE'!F66,""))))))))))))))))))))))</f>
        <v/>
      </c>
      <c r="D19" s="320"/>
      <c r="E19" s="320"/>
      <c r="F19" s="320"/>
      <c r="G19" s="320"/>
      <c r="H19" s="320"/>
      <c r="I19" s="320"/>
      <c r="J19" s="324"/>
      <c r="K19" s="324"/>
      <c r="L19" s="246"/>
      <c r="M19" s="314" t="str">
        <f>IF(AND(OR(C5="HA",C5="HP"),G5="X0",'CÁLCULO TRADUCTOR CodE-EHE'!T5=1),"Para el tipo de hormigón HA o HP, en lo que se refiere a ausencia de riesgo por corrosión en la armadura, debe escoger alguna de las opciones referidas a hormigón armado o pretensado.",IF(AND(OR(C5="HA",C5="HP"),I5="X0",'CÁLCULO TRADUCTOR CodE-EHE'!U5=1),"Para el tipo de hormigón HA o HP, en lo que se refiere a ausencia de riesgo por corrosión en la armadura, debe escoger alguna de las opciones referidas a hormigón armado o pretensado.",IF(AND(OR(C5="HA",C5="HP"),K5="X0",'CÁLCULO TRADUCTOR CodE-EHE'!V5=1),"Para el tipo de hormigón HA o HP, en lo que se refiere a ausencia de riesgo por corrosión en la armadura, debe escoger alguna de las opciones referidas a hormigón armado o pretensado.","")))</f>
        <v/>
      </c>
      <c r="N19" s="315"/>
      <c r="O19" s="315"/>
      <c r="P19" s="315"/>
      <c r="Q19" s="315"/>
      <c r="R19" s="315"/>
      <c r="S19" s="315"/>
      <c r="T19" s="315"/>
      <c r="U19" s="315"/>
      <c r="V19" s="316"/>
      <c r="W19" s="236"/>
    </row>
    <row r="20" spans="1:23" ht="23.1" customHeight="1" x14ac:dyDescent="0.25">
      <c r="A20" s="4"/>
      <c r="B20" s="261"/>
      <c r="C20" s="320" t="str">
        <f>IF(K$5="","",IF(K$5="X0",'CÁLCULO TRADUCTOR CodE-EHE'!F7,IF(K$5="XC1",'CÁLCULO TRADUCTOR CodE-EHE'!F10,IF(K$5="XC2",'CÁLCULO TRADUCTOR CodE-EHE'!F13,IF(K$5="XC3",'CÁLCULO TRADUCTOR CodE-EHE'!F16,IF(K$5="XC4",'CÁLCULO TRADUCTOR CodE-EHE'!F19,IF(K$5="XS1",'CÁLCULO TRADUCTOR CodE-EHE'!F22,IF(K$5="XS2",'CÁLCULO TRADUCTOR CodE-EHE'!F25,IF(K$5="XS3",'CÁLCULO TRADUCTOR CodE-EHE'!F28,IF(K$5="XD1",'CÁLCULO TRADUCTOR CodE-EHE'!F31,IF(K$5="XD2",'CÁLCULO TRADUCTOR CodE-EHE'!F34,IF(K$5="XD3",'CÁLCULO TRADUCTOR CodE-EHE'!F37,IF(K$5="XA1",'CÁLCULO TRADUCTOR CodE-EHE'!F40,IF(K$5="XA2",'CÁLCULO TRADUCTOR CodE-EHE'!F43,IF(K$5="XA3",'CÁLCULO TRADUCTOR CodE-EHE'!F46,IF(K$5="XF1",'CÁLCULO TRADUCTOR CodE-EHE'!F49,IF(K$5="XF2",'CÁLCULO TRADUCTOR CodE-EHE'!F55,IF(K$5="XF3",'CÁLCULO TRADUCTOR CodE-EHE'!F52,IF('CONVERSOR CodE a EHE-08'!K$5="XF4",'CÁLCULO TRADUCTOR CodE-EHE'!F58,IF('CONVERSOR CodE a EHE-08'!K$5="XM1",'CÁLCULO TRADUCTOR CodE-EHE'!F61,IF('CONVERSOR CodE a EHE-08'!K$5="XM2",'CÁLCULO TRADUCTOR CodE-EHE'!F64,IF('CONVERSOR CodE a EHE-08'!K$5="XM3",'CÁLCULO TRADUCTOR CodE-EHE'!F67,""))))))))))))))))))))))</f>
        <v/>
      </c>
      <c r="D20" s="320"/>
      <c r="E20" s="320"/>
      <c r="F20" s="320"/>
      <c r="G20" s="320"/>
      <c r="H20" s="320"/>
      <c r="I20" s="320"/>
      <c r="J20" s="324"/>
      <c r="K20" s="324"/>
      <c r="L20" s="246"/>
      <c r="M20" s="314"/>
      <c r="N20" s="315"/>
      <c r="O20" s="315"/>
      <c r="P20" s="315"/>
      <c r="Q20" s="315"/>
      <c r="R20" s="315"/>
      <c r="S20" s="315"/>
      <c r="T20" s="315"/>
      <c r="U20" s="315"/>
      <c r="V20" s="316"/>
      <c r="W20" s="236"/>
    </row>
    <row r="21" spans="1:23" ht="23.1" customHeight="1" thickBot="1" x14ac:dyDescent="0.3">
      <c r="A21" s="4"/>
      <c r="B21" s="233"/>
      <c r="C21" s="320" t="str">
        <f>IF(K$5="","",IF(K$5="X0",'CÁLCULO TRADUCTOR CodE-EHE'!F8,IF(K$5="XC1",'CÁLCULO TRADUCTOR CodE-EHE'!F11,IF(K$5="XC2",'CÁLCULO TRADUCTOR CodE-EHE'!F14,IF(K$5="XC3",'CÁLCULO TRADUCTOR CodE-EHE'!F17,IF(K$5="XC4",'CÁLCULO TRADUCTOR CodE-EHE'!F20,IF(K$5="XS1",'CÁLCULO TRADUCTOR CodE-EHE'!F23,IF(K$5="XS2",'CÁLCULO TRADUCTOR CodE-EHE'!F26,IF(K$5="XS3",'CÁLCULO TRADUCTOR CodE-EHE'!F29,IF(K$5="XD1",'CÁLCULO TRADUCTOR CodE-EHE'!F32,IF(K$5="XD2",'CÁLCULO TRADUCTOR CodE-EHE'!F35,IF(K$5="XD3",'CÁLCULO TRADUCTOR CodE-EHE'!F38,IF(K$5="XA1",'CÁLCULO TRADUCTOR CodE-EHE'!F41,IF(K$5="XA2",'CÁLCULO TRADUCTOR CodE-EHE'!F44,IF(K$5="XA3",'CÁLCULO TRADUCTOR CodE-EHE'!F47,IF(K$5="XF1",'CÁLCULO TRADUCTOR CodE-EHE'!F50,IF(K$5="XF2",'CÁLCULO TRADUCTOR CodE-EHE'!F56,IF(K$5="XF3",'CÁLCULO TRADUCTOR CodE-EHE'!F53,IF('CONVERSOR CodE a EHE-08'!K$5="XF4",'CÁLCULO TRADUCTOR CodE-EHE'!F59,IF('CONVERSOR CodE a EHE-08'!K$5="XM1",'CÁLCULO TRADUCTOR CodE-EHE'!F62,IF('CONVERSOR CodE a EHE-08'!K$5="XM2",'CÁLCULO TRADUCTOR CodE-EHE'!F65,IF('CONVERSOR CodE a EHE-08'!K$5="XM3",'CÁLCULO TRADUCTOR CodE-EHE'!F68,""))))))))))))))))))))))</f>
        <v/>
      </c>
      <c r="D21" s="320"/>
      <c r="E21" s="320"/>
      <c r="F21" s="320"/>
      <c r="G21" s="320"/>
      <c r="H21" s="320"/>
      <c r="I21" s="320"/>
      <c r="J21" s="324"/>
      <c r="K21" s="324"/>
      <c r="L21" s="234"/>
      <c r="M21" s="274"/>
      <c r="N21" s="275"/>
      <c r="O21" s="275"/>
      <c r="P21" s="275"/>
      <c r="Q21" s="275"/>
      <c r="R21" s="275"/>
      <c r="S21" s="275"/>
      <c r="T21" s="275"/>
      <c r="U21" s="275"/>
      <c r="V21" s="276"/>
      <c r="W21" s="236"/>
    </row>
    <row r="22" spans="1:23" ht="23.1" customHeight="1" thickBot="1" x14ac:dyDescent="0.3">
      <c r="A22" s="4"/>
      <c r="B22" s="262"/>
      <c r="C22" s="273"/>
      <c r="D22" s="273"/>
      <c r="E22" s="273"/>
      <c r="F22" s="273"/>
      <c r="G22" s="273"/>
      <c r="H22" s="273"/>
      <c r="I22" s="273"/>
      <c r="J22" s="273"/>
      <c r="K22" s="27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2" t="s">
        <v>150</v>
      </c>
      <c r="W22" s="264"/>
    </row>
    <row r="23" spans="1:23" ht="23.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3" ht="23.1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3" ht="23.1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3" ht="23.1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3" ht="23.1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3" ht="23.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3" ht="18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ht="18.75" customHeight="1" x14ac:dyDescent="0.25">
      <c r="C30" s="4"/>
      <c r="D30" s="4"/>
      <c r="E30" s="4"/>
      <c r="F30" s="4"/>
      <c r="G30" s="4"/>
      <c r="H30" s="4"/>
      <c r="I30" s="4"/>
      <c r="J30" s="4"/>
      <c r="K30" s="4"/>
      <c r="N30" s="4"/>
      <c r="O30" s="4"/>
      <c r="P30" s="4"/>
      <c r="Q30" s="4"/>
      <c r="R30" s="4"/>
      <c r="S30" s="4"/>
      <c r="T30" s="4"/>
      <c r="U30" s="4"/>
    </row>
    <row r="31" spans="1:23" ht="18.75" customHeight="1" x14ac:dyDescent="0.25"/>
    <row r="32" spans="1:23" ht="18.75" customHeight="1" x14ac:dyDescent="0.25"/>
    <row r="33" customFormat="1" ht="23.1" customHeight="1" x14ac:dyDescent="0.25"/>
    <row r="34" customFormat="1" ht="23.1" customHeight="1" x14ac:dyDescent="0.25"/>
    <row r="35" customFormat="1" ht="23.1" customHeight="1" x14ac:dyDescent="0.25"/>
  </sheetData>
  <sheetProtection algorithmName="SHA-512" hashValue="KVslll+i91aNmXYZ24hCtzyzW0Ax4DLALfdc4/fMSnSg2K6vndirUKDqiJQ+PeV85WU65KE1Vs1GLRZ59OaH9g==" saltValue="+2aAm68+rElImHb1Wl0VsQ==" spinCount="100000" sheet="1" objects="1" scenarios="1" selectLockedCells="1"/>
  <mergeCells count="49">
    <mergeCell ref="J16:K16"/>
    <mergeCell ref="M15:V15"/>
    <mergeCell ref="C21:I21"/>
    <mergeCell ref="J21:K21"/>
    <mergeCell ref="M21:V21"/>
    <mergeCell ref="C17:I17"/>
    <mergeCell ref="M16:V16"/>
    <mergeCell ref="C18:K18"/>
    <mergeCell ref="M17:V18"/>
    <mergeCell ref="C19:I19"/>
    <mergeCell ref="J19:K19"/>
    <mergeCell ref="C16:I16"/>
    <mergeCell ref="C10:I10"/>
    <mergeCell ref="J10:K10"/>
    <mergeCell ref="Q4:U4"/>
    <mergeCell ref="G4:K4"/>
    <mergeCell ref="C20:I20"/>
    <mergeCell ref="J20:K20"/>
    <mergeCell ref="M19:V20"/>
    <mergeCell ref="C12:I12"/>
    <mergeCell ref="C13:K13"/>
    <mergeCell ref="C14:I14"/>
    <mergeCell ref="J14:K14"/>
    <mergeCell ref="C15:I15"/>
    <mergeCell ref="J15:K15"/>
    <mergeCell ref="S10:U10"/>
    <mergeCell ref="P11:R11"/>
    <mergeCell ref="T11:U11"/>
    <mergeCell ref="S8:U8"/>
    <mergeCell ref="S9:U9"/>
    <mergeCell ref="M14:V14"/>
    <mergeCell ref="M12:U12"/>
    <mergeCell ref="P10:R10"/>
    <mergeCell ref="A2:A16"/>
    <mergeCell ref="B2:L2"/>
    <mergeCell ref="B3:B16"/>
    <mergeCell ref="C3:K3"/>
    <mergeCell ref="M3:U3"/>
    <mergeCell ref="C7:I7"/>
    <mergeCell ref="M6:S6"/>
    <mergeCell ref="C8:K8"/>
    <mergeCell ref="C9:I9"/>
    <mergeCell ref="J9:K9"/>
    <mergeCell ref="P8:R8"/>
    <mergeCell ref="C11:I11"/>
    <mergeCell ref="J11:K11"/>
    <mergeCell ref="P9:R9"/>
    <mergeCell ref="M10:M11"/>
    <mergeCell ref="P7:U7"/>
  </mergeCells>
  <conditionalFormatting sqref="N5">
    <cfRule type="expression" dxfId="18" priority="2">
      <formula xml:space="preserve"> $N$5&gt;$D$5</formula>
    </cfRule>
  </conditionalFormatting>
  <pageMargins left="0.7" right="0.7" top="0.75" bottom="0.75" header="0.3" footer="0.3"/>
  <pageSetup paperSize="9" orientation="portrait" r:id="rId1"/>
  <ignoredErrors>
    <ignoredError sqref="N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 altText="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0</xdr:rowOff>
                  </from>
                  <to>
                    <xdr:col>10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276225</xdr:rowOff>
                  </from>
                  <to>
                    <xdr:col>10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Option Button 8">
              <controlPr defaultSize="0" autoFill="0" autoLine="0" autoPict="0">
                <anchor moveWithCells="1">
                  <from>
                    <xdr:col>10</xdr:col>
                    <xdr:colOff>95250</xdr:colOff>
                    <xdr:row>14</xdr:row>
                    <xdr:rowOff>257175</xdr:rowOff>
                  </from>
                  <to>
                    <xdr:col>10</xdr:col>
                    <xdr:colOff>342900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Group Box 14">
              <controlPr defaultSize="0" autoFill="0" autoPict="0">
                <anchor moveWithCells="1">
                  <from>
                    <xdr:col>8</xdr:col>
                    <xdr:colOff>742950</xdr:colOff>
                    <xdr:row>8</xdr:row>
                    <xdr:rowOff>0</xdr:rowOff>
                  </from>
                  <to>
                    <xdr:col>11</xdr:col>
                    <xdr:colOff>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Option Button 15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28575</xdr:rowOff>
                  </from>
                  <to>
                    <xdr:col>10</xdr:col>
                    <xdr:colOff>323850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Option Button 16">
              <controlPr defaultSize="0" autoFill="0" autoLine="0" autoPict="0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10</xdr:col>
                    <xdr:colOff>333375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Option Button 17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47625</xdr:rowOff>
                  </from>
                  <to>
                    <xdr:col>10</xdr:col>
                    <xdr:colOff>333375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Group Box 18">
              <controlPr defaultSize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Option Button 19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38100</xdr:rowOff>
                  </from>
                  <to>
                    <xdr:col>10</xdr:col>
                    <xdr:colOff>361950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Option Button 20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28575</xdr:rowOff>
                  </from>
                  <to>
                    <xdr:col>10</xdr:col>
                    <xdr:colOff>361950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Option Button 21">
              <controlPr defaultSize="0" autoFill="0" autoLine="0" autoPict="0">
                <anchor moveWithCells="1">
                  <from>
                    <xdr:col>10</xdr:col>
                    <xdr:colOff>85725</xdr:colOff>
                    <xdr:row>20</xdr:row>
                    <xdr:rowOff>38100</xdr:rowOff>
                  </from>
                  <to>
                    <xdr:col>10</xdr:col>
                    <xdr:colOff>361950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0F5155-9605-4189-AA29-1B261AD51527}">
          <x14:formula1>
            <xm:f>'CÁLCULO TRADUCTOR EHE-CodE'!$A$6:$A$19</xm:f>
          </x14:formula1>
          <xm:sqref>D5</xm:sqref>
        </x14:dataValidation>
        <x14:dataValidation type="list" allowBlank="1" showInputMessage="1" showErrorMessage="1" xr:uid="{FDF923DB-2527-49C0-A83E-7AD92579325A}">
          <x14:formula1>
            <xm:f>'CÁLCULO TRADUCTOR CodE-EHE'!$B$4:$B$25</xm:f>
          </x14:formula1>
          <xm:sqref>G5 I5 K5</xm:sqref>
        </x14:dataValidation>
        <x14:dataValidation type="list" allowBlank="1" showInputMessage="1" showErrorMessage="1" xr:uid="{64EA2D77-0539-4F4C-AE42-609F57584465}">
          <x14:formula1>
            <xm:f>'CÁLCULO TRADUCTOR EHE-CodE'!$A$26:$A$30</xm:f>
          </x14:formula1>
          <xm:sqref>F5</xm:sqref>
        </x14:dataValidation>
        <x14:dataValidation type="list" allowBlank="1" showInputMessage="1" showErrorMessage="1" xr:uid="{184389DB-7998-4305-AEBC-8484205A1E88}">
          <x14:formula1>
            <xm:f>'CÁLCULO TRADUCTOR EHE-CodE'!$B$19:$B$24</xm:f>
          </x14:formula1>
          <xm:sqref>E5</xm:sqref>
        </x14:dataValidation>
        <x14:dataValidation type="list" allowBlank="1" showInputMessage="1" showErrorMessage="1" xr:uid="{FFED6F07-13CA-41E8-BA51-037501561290}">
          <x14:formula1>
            <xm:f>'CÁLCULO TRADUCTOR EHE-CodE'!$A$21:$A$24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65D5-BF25-4D6A-A94F-8A7741CF6A8F}">
  <sheetPr codeName="Hoja4">
    <tabColor theme="4"/>
  </sheetPr>
  <dimension ref="A3:U77"/>
  <sheetViews>
    <sheetView zoomScale="70" zoomScaleNormal="70" workbookViewId="0">
      <selection activeCell="B71" sqref="B71"/>
    </sheetView>
  </sheetViews>
  <sheetFormatPr baseColWidth="10" defaultColWidth="11.42578125" defaultRowHeight="15" x14ac:dyDescent="0.25"/>
  <cols>
    <col min="1" max="1" width="12.85546875" customWidth="1"/>
    <col min="2" max="2" width="14" bestFit="1" customWidth="1"/>
    <col min="6" max="6" width="71.140625" style="9" customWidth="1"/>
    <col min="7" max="7" width="8.140625" style="12" customWidth="1"/>
    <col min="8" max="8" width="16.140625" bestFit="1" customWidth="1"/>
    <col min="9" max="9" width="16.85546875" customWidth="1"/>
    <col min="10" max="10" width="14" bestFit="1" customWidth="1"/>
    <col min="11" max="11" width="14" customWidth="1"/>
    <col min="12" max="12" width="17" customWidth="1"/>
    <col min="13" max="14" width="14" customWidth="1"/>
    <col min="15" max="15" width="17.85546875" customWidth="1"/>
    <col min="16" max="16" width="14" customWidth="1"/>
    <col min="17" max="20" width="11.42578125" style="12"/>
  </cols>
  <sheetData>
    <row r="3" spans="1:21" ht="15.75" thickBot="1" x14ac:dyDescent="0.3"/>
    <row r="4" spans="1:21" ht="23.25" customHeight="1" thickTop="1" thickBot="1" x14ac:dyDescent="0.3">
      <c r="B4" s="13" t="s">
        <v>2</v>
      </c>
      <c r="H4" s="325" t="s">
        <v>0</v>
      </c>
      <c r="I4" s="326"/>
      <c r="J4" s="327"/>
      <c r="K4" s="325" t="s">
        <v>4</v>
      </c>
      <c r="L4" s="326"/>
      <c r="M4" s="327"/>
      <c r="N4" s="325" t="s">
        <v>5</v>
      </c>
      <c r="O4" s="326"/>
      <c r="P4" s="327"/>
    </row>
    <row r="5" spans="1:21" ht="26.25" customHeight="1" thickBot="1" x14ac:dyDescent="0.3">
      <c r="A5" s="14" t="s">
        <v>3</v>
      </c>
      <c r="B5" s="15" t="s">
        <v>6</v>
      </c>
      <c r="H5" s="16" t="s">
        <v>57</v>
      </c>
      <c r="I5" s="17" t="s">
        <v>58</v>
      </c>
      <c r="J5" s="18" t="s">
        <v>62</v>
      </c>
      <c r="K5" s="16" t="s">
        <v>57</v>
      </c>
      <c r="L5" s="17" t="s">
        <v>58</v>
      </c>
      <c r="M5" s="18" t="s">
        <v>62</v>
      </c>
      <c r="N5" s="16" t="s">
        <v>57</v>
      </c>
      <c r="O5" s="17" t="s">
        <v>58</v>
      </c>
      <c r="P5" s="18" t="s">
        <v>62</v>
      </c>
      <c r="S5" s="19">
        <v>2</v>
      </c>
      <c r="T5" s="19">
        <v>1</v>
      </c>
      <c r="U5" s="19">
        <v>1</v>
      </c>
    </row>
    <row r="6" spans="1:21" ht="15.75" customHeight="1" thickBot="1" x14ac:dyDescent="0.3">
      <c r="A6" s="20" t="s">
        <v>2</v>
      </c>
      <c r="B6" s="15" t="s">
        <v>7</v>
      </c>
      <c r="E6" s="334" t="s">
        <v>6</v>
      </c>
      <c r="F6" s="21" t="s">
        <v>50</v>
      </c>
      <c r="G6" s="22" t="s">
        <v>23</v>
      </c>
      <c r="H6" s="23">
        <v>0.65</v>
      </c>
      <c r="I6" s="24">
        <v>200</v>
      </c>
      <c r="J6" s="25">
        <v>20</v>
      </c>
      <c r="K6" s="26">
        <v>0.65</v>
      </c>
      <c r="L6" s="27">
        <v>250</v>
      </c>
      <c r="M6" s="25">
        <v>25</v>
      </c>
      <c r="N6" s="26">
        <v>0.6</v>
      </c>
      <c r="O6" s="27">
        <v>275</v>
      </c>
      <c r="P6" s="25">
        <v>25</v>
      </c>
      <c r="Q6" s="28" t="str">
        <f>IFERROR(VLOOKUP('CONVERSOR EHE-08 a CodE'!C9,F$6:G$8,2,FALSE),"")</f>
        <v/>
      </c>
      <c r="S6" s="29" t="str">
        <f>IF(Q6="","",IF(S$5=1,Q6,IF(S$5=2,Q7,IF(S$5=3,Q8,""))))</f>
        <v/>
      </c>
      <c r="T6" s="30"/>
      <c r="U6" s="31"/>
    </row>
    <row r="7" spans="1:21" ht="15" customHeight="1" x14ac:dyDescent="0.25">
      <c r="A7" s="32">
        <v>20</v>
      </c>
      <c r="B7" s="15" t="s">
        <v>8</v>
      </c>
      <c r="E7" s="335"/>
      <c r="F7" s="33" t="s">
        <v>78</v>
      </c>
      <c r="G7" s="34" t="s">
        <v>23</v>
      </c>
      <c r="H7" s="35">
        <v>0.65</v>
      </c>
      <c r="I7" s="36">
        <v>200</v>
      </c>
      <c r="J7" s="37">
        <v>20</v>
      </c>
      <c r="K7" s="38">
        <v>0.65</v>
      </c>
      <c r="L7" s="34">
        <v>250</v>
      </c>
      <c r="M7" s="37">
        <v>25</v>
      </c>
      <c r="N7" s="38">
        <v>0.6</v>
      </c>
      <c r="O7" s="34">
        <v>275</v>
      </c>
      <c r="P7" s="37">
        <v>25</v>
      </c>
      <c r="Q7" s="39" t="str">
        <f>IFERROR(VLOOKUP('CONVERSOR EHE-08 a CodE'!C10,F$6:G$8,2,FALSE),"")</f>
        <v/>
      </c>
      <c r="S7" s="40"/>
      <c r="T7" s="30"/>
      <c r="U7" s="31"/>
    </row>
    <row r="8" spans="1:21" ht="15.75" customHeight="1" thickBot="1" x14ac:dyDescent="0.3">
      <c r="A8" s="41">
        <v>25</v>
      </c>
      <c r="B8" s="15" t="s">
        <v>9</v>
      </c>
      <c r="E8" s="336"/>
      <c r="F8" s="42" t="s">
        <v>79</v>
      </c>
      <c r="G8" s="43" t="s">
        <v>24</v>
      </c>
      <c r="H8" s="44"/>
      <c r="I8" s="45"/>
      <c r="J8" s="46"/>
      <c r="K8" s="47">
        <v>0.6</v>
      </c>
      <c r="L8" s="43">
        <v>275</v>
      </c>
      <c r="M8" s="46">
        <v>25</v>
      </c>
      <c r="N8" s="47">
        <v>0.6</v>
      </c>
      <c r="O8" s="43">
        <v>300</v>
      </c>
      <c r="P8" s="46">
        <v>25</v>
      </c>
      <c r="Q8" s="48" t="str">
        <f>IFERROR(VLOOKUP('CONVERSOR EHE-08 a CodE'!C11,F$6:G$8,2,FALSE),"")</f>
        <v/>
      </c>
      <c r="S8" s="40"/>
      <c r="T8" s="30"/>
      <c r="U8" s="31"/>
    </row>
    <row r="9" spans="1:21" ht="15.75" customHeight="1" thickBot="1" x14ac:dyDescent="0.3">
      <c r="A9" s="41">
        <v>30</v>
      </c>
      <c r="B9" s="15" t="s">
        <v>10</v>
      </c>
      <c r="E9" s="334" t="s">
        <v>7</v>
      </c>
      <c r="F9" s="21" t="s">
        <v>80</v>
      </c>
      <c r="G9" s="22" t="s">
        <v>24</v>
      </c>
      <c r="H9" s="49"/>
      <c r="I9" s="50"/>
      <c r="J9" s="51"/>
      <c r="K9" s="52">
        <v>0.6</v>
      </c>
      <c r="L9" s="22">
        <v>275</v>
      </c>
      <c r="M9" s="51">
        <v>25</v>
      </c>
      <c r="N9" s="52">
        <v>0.6</v>
      </c>
      <c r="O9" s="22">
        <v>300</v>
      </c>
      <c r="P9" s="51">
        <v>25</v>
      </c>
      <c r="Q9" s="28" t="str">
        <f>IFERROR(VLOOKUP('CONVERSOR EHE-08 a CodE'!C9,F$9:G$11,2,FALSE),"")</f>
        <v>XC1</v>
      </c>
      <c r="S9" s="29" t="str">
        <f>IF(Q9="","",IF(S$5=1,Q9,IF(S$5=2,Q10,IF(S$5=3,Q11,""))))</f>
        <v>XC2</v>
      </c>
      <c r="T9" s="30"/>
      <c r="U9" s="31"/>
    </row>
    <row r="10" spans="1:21" ht="15" customHeight="1" x14ac:dyDescent="0.25">
      <c r="A10" s="41">
        <v>35</v>
      </c>
      <c r="B10" s="15" t="s">
        <v>11</v>
      </c>
      <c r="C10" s="9"/>
      <c r="D10" s="9"/>
      <c r="E10" s="335"/>
      <c r="F10" s="33" t="s">
        <v>81</v>
      </c>
      <c r="G10" s="34" t="s">
        <v>25</v>
      </c>
      <c r="H10" s="35"/>
      <c r="I10" s="36"/>
      <c r="J10" s="37"/>
      <c r="K10" s="38">
        <v>0.6</v>
      </c>
      <c r="L10" s="34">
        <v>275</v>
      </c>
      <c r="M10" s="37">
        <v>25</v>
      </c>
      <c r="N10" s="38">
        <v>0.6</v>
      </c>
      <c r="O10" s="34">
        <v>300</v>
      </c>
      <c r="P10" s="37">
        <v>25</v>
      </c>
      <c r="Q10" s="39" t="str">
        <f>IFERROR(VLOOKUP('CONVERSOR EHE-08 a CodE'!C10,F$9:G$11,2,FALSE),"")</f>
        <v>XC2</v>
      </c>
      <c r="S10" s="40"/>
      <c r="T10" s="30"/>
      <c r="U10" s="31"/>
    </row>
    <row r="11" spans="1:21" ht="15.75" customHeight="1" thickBot="1" x14ac:dyDescent="0.3">
      <c r="A11" s="41">
        <v>40</v>
      </c>
      <c r="B11" s="15" t="s">
        <v>12</v>
      </c>
      <c r="C11" s="9"/>
      <c r="D11" s="9"/>
      <c r="E11" s="336"/>
      <c r="F11" s="42" t="s">
        <v>82</v>
      </c>
      <c r="G11" s="43" t="s">
        <v>27</v>
      </c>
      <c r="H11" s="44"/>
      <c r="I11" s="45"/>
      <c r="J11" s="46"/>
      <c r="K11" s="47">
        <v>0.55000000000000004</v>
      </c>
      <c r="L11" s="43">
        <v>300</v>
      </c>
      <c r="M11" s="46">
        <v>30</v>
      </c>
      <c r="N11" s="47">
        <v>0.55000000000000004</v>
      </c>
      <c r="O11" s="43">
        <v>300</v>
      </c>
      <c r="P11" s="46">
        <v>30</v>
      </c>
      <c r="Q11" s="48" t="str">
        <f>IFERROR(VLOOKUP('CONVERSOR EHE-08 a CodE'!C11,F$9:G$11,2,FALSE),"")</f>
        <v>XC3</v>
      </c>
      <c r="S11" s="40"/>
      <c r="T11" s="30"/>
      <c r="U11" s="31"/>
    </row>
    <row r="12" spans="1:21" ht="15.75" customHeight="1" thickBot="1" x14ac:dyDescent="0.3">
      <c r="A12" s="41">
        <v>45</v>
      </c>
      <c r="B12" s="53" t="s">
        <v>2</v>
      </c>
      <c r="C12" s="9"/>
      <c r="D12" s="9"/>
      <c r="E12" s="334" t="s">
        <v>8</v>
      </c>
      <c r="F12" s="21" t="s">
        <v>83</v>
      </c>
      <c r="G12" s="22" t="s">
        <v>27</v>
      </c>
      <c r="H12" s="49"/>
      <c r="I12" s="50"/>
      <c r="J12" s="51"/>
      <c r="K12" s="52">
        <v>0.55000000000000004</v>
      </c>
      <c r="L12" s="22">
        <v>300</v>
      </c>
      <c r="M12" s="51">
        <v>30</v>
      </c>
      <c r="N12" s="52">
        <v>0.55000000000000004</v>
      </c>
      <c r="O12" s="22">
        <v>300</v>
      </c>
      <c r="P12" s="51">
        <v>30</v>
      </c>
      <c r="Q12" s="28" t="str">
        <f>IFERROR(VLOOKUP('CONVERSOR EHE-08 a CodE'!C9,F$12:G$14,2,FALSE),"")</f>
        <v/>
      </c>
      <c r="S12" s="29" t="str">
        <f>IF(Q12="","",IF(S$5=1,Q12,IF(S$5=2,Q13,IF(S$5=3,Q14,""))))</f>
        <v/>
      </c>
      <c r="T12" s="30"/>
      <c r="U12" s="31"/>
    </row>
    <row r="13" spans="1:21" ht="15" customHeight="1" x14ac:dyDescent="0.25">
      <c r="A13" s="41">
        <v>50</v>
      </c>
      <c r="B13" s="53" t="s">
        <v>13</v>
      </c>
      <c r="E13" s="335"/>
      <c r="F13" s="54" t="s">
        <v>84</v>
      </c>
      <c r="G13" s="34" t="s">
        <v>28</v>
      </c>
      <c r="H13" s="35"/>
      <c r="I13" s="36"/>
      <c r="J13" s="37"/>
      <c r="K13" s="38">
        <v>0.55000000000000004</v>
      </c>
      <c r="L13" s="34">
        <v>300</v>
      </c>
      <c r="M13" s="37">
        <v>30</v>
      </c>
      <c r="N13" s="38">
        <v>0.55000000000000004</v>
      </c>
      <c r="O13" s="34">
        <v>300</v>
      </c>
      <c r="P13" s="37">
        <v>30</v>
      </c>
      <c r="Q13" s="39" t="str">
        <f>IFERROR(VLOOKUP('CONVERSOR EHE-08 a CodE'!C10,F$12:G$14,2,FALSE),"")</f>
        <v/>
      </c>
      <c r="S13" s="40"/>
      <c r="T13" s="30"/>
      <c r="U13" s="31"/>
    </row>
    <row r="14" spans="1:21" ht="19.5" thickBot="1" x14ac:dyDescent="0.3">
      <c r="A14" s="41">
        <v>55</v>
      </c>
      <c r="B14" s="53" t="s">
        <v>14</v>
      </c>
      <c r="E14" s="55"/>
      <c r="F14" s="56" t="s">
        <v>2</v>
      </c>
      <c r="G14" s="57" t="s">
        <v>2</v>
      </c>
      <c r="H14" s="58"/>
      <c r="I14" s="59"/>
      <c r="J14" s="60"/>
      <c r="K14" s="61"/>
      <c r="L14" s="57"/>
      <c r="M14" s="60"/>
      <c r="N14" s="61"/>
      <c r="O14" s="57"/>
      <c r="P14" s="60"/>
      <c r="Q14" s="62" t="str">
        <f>IFERROR(VLOOKUP('CONVERSOR EHE-08 a CodE'!C11,F$12:G$14,2,FALSE),"")</f>
        <v/>
      </c>
      <c r="S14" s="40"/>
      <c r="T14" s="30"/>
      <c r="U14" s="31"/>
    </row>
    <row r="15" spans="1:21" ht="26.25" thickBot="1" x14ac:dyDescent="0.3">
      <c r="A15" s="41">
        <v>60</v>
      </c>
      <c r="B15" s="53" t="s">
        <v>15</v>
      </c>
      <c r="E15" s="63" t="s">
        <v>9</v>
      </c>
      <c r="F15" s="64" t="s">
        <v>35</v>
      </c>
      <c r="G15" s="22" t="s">
        <v>34</v>
      </c>
      <c r="H15" s="49"/>
      <c r="I15" s="50"/>
      <c r="J15" s="51"/>
      <c r="K15" s="52">
        <v>0.5</v>
      </c>
      <c r="L15" s="22">
        <v>300</v>
      </c>
      <c r="M15" s="51">
        <v>30</v>
      </c>
      <c r="N15" s="52">
        <v>0.5</v>
      </c>
      <c r="O15" s="22">
        <v>300</v>
      </c>
      <c r="P15" s="51">
        <v>30</v>
      </c>
      <c r="Q15" s="28" t="str">
        <f>IFERROR(VLOOKUP('CONVERSOR EHE-08 a CodE'!C9,F$15:G$17,2,FALSE),"")</f>
        <v/>
      </c>
      <c r="S15" s="29" t="str">
        <f>IF(Q15="","",IF(S$5=1,Q15,IF(S$5=2,Q16,IF(S$5=3,Q17,""))))</f>
        <v/>
      </c>
      <c r="T15" s="30"/>
      <c r="U15" s="31"/>
    </row>
    <row r="16" spans="1:21" ht="18.75" x14ac:dyDescent="0.25">
      <c r="A16" s="41">
        <v>70</v>
      </c>
      <c r="B16" s="53" t="s">
        <v>16</v>
      </c>
      <c r="E16" s="65"/>
      <c r="F16" s="66" t="s">
        <v>2</v>
      </c>
      <c r="G16" s="34" t="s">
        <v>2</v>
      </c>
      <c r="H16" s="35"/>
      <c r="I16" s="36"/>
      <c r="J16" s="37"/>
      <c r="K16" s="38"/>
      <c r="L16" s="34"/>
      <c r="M16" s="37"/>
      <c r="N16" s="38"/>
      <c r="O16" s="34"/>
      <c r="P16" s="37"/>
      <c r="Q16" s="39" t="str">
        <f>IFERROR(VLOOKUP('CONVERSOR EHE-08 a CodE'!C10,F$15:G$17,2,FALSE),"")</f>
        <v/>
      </c>
      <c r="S16" s="40"/>
      <c r="T16" s="30"/>
      <c r="U16" s="31"/>
    </row>
    <row r="17" spans="1:21" ht="19.5" thickBot="1" x14ac:dyDescent="0.3">
      <c r="A17" s="41">
        <v>80</v>
      </c>
      <c r="B17" s="53" t="s">
        <v>17</v>
      </c>
      <c r="E17" s="67"/>
      <c r="F17" s="68" t="s">
        <v>2</v>
      </c>
      <c r="G17" s="43" t="s">
        <v>2</v>
      </c>
      <c r="H17" s="44"/>
      <c r="I17" s="45"/>
      <c r="J17" s="46"/>
      <c r="K17" s="47"/>
      <c r="L17" s="43"/>
      <c r="M17" s="46"/>
      <c r="N17" s="47"/>
      <c r="O17" s="43"/>
      <c r="P17" s="46"/>
      <c r="Q17" s="48" t="str">
        <f>IFERROR(VLOOKUP('CONVERSOR EHE-08 a CodE'!C11,F$15:G$17,2,FALSE),"")</f>
        <v/>
      </c>
      <c r="S17" s="40"/>
      <c r="T17" s="30"/>
      <c r="U17" s="31"/>
    </row>
    <row r="18" spans="1:21" ht="19.5" thickBot="1" x14ac:dyDescent="0.3">
      <c r="A18" s="41">
        <v>90</v>
      </c>
      <c r="B18" s="53" t="s">
        <v>18</v>
      </c>
      <c r="E18" s="69" t="s">
        <v>10</v>
      </c>
      <c r="F18" s="70" t="s">
        <v>37</v>
      </c>
      <c r="G18" s="27" t="s">
        <v>36</v>
      </c>
      <c r="H18" s="23"/>
      <c r="I18" s="24"/>
      <c r="J18" s="25"/>
      <c r="K18" s="26">
        <v>0.5</v>
      </c>
      <c r="L18" s="27">
        <v>325</v>
      </c>
      <c r="M18" s="25">
        <v>30</v>
      </c>
      <c r="N18" s="26">
        <v>0.45</v>
      </c>
      <c r="O18" s="27">
        <v>325</v>
      </c>
      <c r="P18" s="25">
        <v>35</v>
      </c>
      <c r="Q18" s="71" t="str">
        <f>IFERROR(VLOOKUP('CONVERSOR EHE-08 a CodE'!C9,F$18:G$20,2,FALSE),"")</f>
        <v/>
      </c>
      <c r="S18" s="29" t="str">
        <f>IF(Q18="","",IF(S$5=1,Q18,IF(S$5=2,Q19,IF(S$5=3,Q20,""))))</f>
        <v/>
      </c>
      <c r="T18" s="30"/>
      <c r="U18" s="31"/>
    </row>
    <row r="19" spans="1:21" ht="18.75" x14ac:dyDescent="0.25">
      <c r="A19" s="72">
        <v>100</v>
      </c>
      <c r="B19" s="73" t="s">
        <v>2</v>
      </c>
      <c r="E19" s="65"/>
      <c r="F19" s="66" t="s">
        <v>2</v>
      </c>
      <c r="G19" s="34" t="s">
        <v>2</v>
      </c>
      <c r="H19" s="35"/>
      <c r="I19" s="36"/>
      <c r="J19" s="37"/>
      <c r="K19" s="38"/>
      <c r="L19" s="34"/>
      <c r="M19" s="37"/>
      <c r="N19" s="38"/>
      <c r="O19" s="34"/>
      <c r="P19" s="37"/>
      <c r="Q19" s="39" t="str">
        <f>IFERROR(VLOOKUP('CONVERSOR EHE-08 a CodE'!C10,F$18:G$20,2,FALSE),"")</f>
        <v/>
      </c>
      <c r="S19" s="40"/>
      <c r="T19" s="30"/>
      <c r="U19" s="31"/>
    </row>
    <row r="20" spans="1:21" ht="19.5" thickBot="1" x14ac:dyDescent="0.3">
      <c r="A20" s="74"/>
      <c r="B20" s="75" t="s">
        <v>19</v>
      </c>
      <c r="E20" s="67"/>
      <c r="F20" s="68" t="s">
        <v>2</v>
      </c>
      <c r="G20" s="43" t="s">
        <v>2</v>
      </c>
      <c r="H20" s="44"/>
      <c r="I20" s="45"/>
      <c r="J20" s="46"/>
      <c r="K20" s="47"/>
      <c r="L20" s="43"/>
      <c r="M20" s="46"/>
      <c r="N20" s="47"/>
      <c r="O20" s="43"/>
      <c r="P20" s="46"/>
      <c r="Q20" s="48" t="str">
        <f>IFERROR(VLOOKUP('CONVERSOR EHE-08 a CodE'!C11,F$18:G$20,2,FALSE),"")</f>
        <v/>
      </c>
      <c r="S20" s="40"/>
      <c r="T20" s="30"/>
      <c r="U20" s="31"/>
    </row>
    <row r="21" spans="1:21" ht="19.5" thickBot="1" x14ac:dyDescent="0.3">
      <c r="A21" s="73" t="str">
        <f>"-"</f>
        <v>-</v>
      </c>
      <c r="B21" s="75" t="s">
        <v>1</v>
      </c>
      <c r="E21" s="63" t="s">
        <v>11</v>
      </c>
      <c r="F21" s="64" t="s">
        <v>39</v>
      </c>
      <c r="G21" s="22" t="s">
        <v>38</v>
      </c>
      <c r="H21" s="49"/>
      <c r="I21" s="50"/>
      <c r="J21" s="51"/>
      <c r="K21" s="52">
        <v>0.45</v>
      </c>
      <c r="L21" s="22">
        <v>350</v>
      </c>
      <c r="M21" s="51">
        <v>35</v>
      </c>
      <c r="N21" s="52">
        <v>0.45</v>
      </c>
      <c r="O21" s="22">
        <v>350</v>
      </c>
      <c r="P21" s="51">
        <v>35</v>
      </c>
      <c r="Q21" s="28" t="str">
        <f>IFERROR(VLOOKUP('CONVERSOR EHE-08 a CodE'!C9,F$21:G$23,2,FALSE),"")</f>
        <v/>
      </c>
      <c r="S21" s="29" t="str">
        <f>IF(Q21="","",IF(S$5=1,Q21,IF(S$5=2,Q22,IF(S$5=3,Q23,""))))</f>
        <v/>
      </c>
      <c r="T21" s="30"/>
      <c r="U21" s="31"/>
    </row>
    <row r="22" spans="1:21" ht="18.75" x14ac:dyDescent="0.25">
      <c r="A22" s="15" t="s">
        <v>0</v>
      </c>
      <c r="B22" s="75" t="s">
        <v>20</v>
      </c>
      <c r="E22" s="65"/>
      <c r="F22" s="66" t="s">
        <v>2</v>
      </c>
      <c r="G22" s="34" t="s">
        <v>2</v>
      </c>
      <c r="H22" s="35"/>
      <c r="I22" s="36"/>
      <c r="J22" s="37"/>
      <c r="K22" s="38"/>
      <c r="L22" s="34"/>
      <c r="M22" s="37"/>
      <c r="N22" s="38"/>
      <c r="O22" s="34"/>
      <c r="P22" s="37"/>
      <c r="Q22" s="39" t="str">
        <f>IFERROR(VLOOKUP('CONVERSOR EHE-08 a CodE'!C10,F$21:G$23,2,FALSE),"")</f>
        <v/>
      </c>
      <c r="S22" s="40"/>
      <c r="T22" s="30"/>
      <c r="U22" s="31"/>
    </row>
    <row r="23" spans="1:21" ht="19.5" thickBot="1" x14ac:dyDescent="0.3">
      <c r="A23" s="15" t="s">
        <v>4</v>
      </c>
      <c r="B23" s="75" t="s">
        <v>17</v>
      </c>
      <c r="E23" s="67"/>
      <c r="F23" s="68" t="s">
        <v>2</v>
      </c>
      <c r="G23" s="43" t="s">
        <v>2</v>
      </c>
      <c r="H23" s="44"/>
      <c r="I23" s="45"/>
      <c r="J23" s="46"/>
      <c r="K23" s="47"/>
      <c r="L23" s="43"/>
      <c r="M23" s="46"/>
      <c r="N23" s="47"/>
      <c r="O23" s="43"/>
      <c r="P23" s="46"/>
      <c r="Q23" s="48" t="str">
        <f>IFERROR(VLOOKUP('CONVERSOR EHE-08 a CodE'!C11,F$21:G$23,2,FALSE),"")</f>
        <v/>
      </c>
      <c r="S23" s="40"/>
      <c r="T23" s="30"/>
      <c r="U23" s="31"/>
    </row>
    <row r="24" spans="1:21" ht="15.75" customHeight="1" thickBot="1" x14ac:dyDescent="0.3">
      <c r="A24" s="76" t="s">
        <v>5</v>
      </c>
      <c r="B24" s="75" t="s">
        <v>21</v>
      </c>
      <c r="E24" s="334" t="s">
        <v>12</v>
      </c>
      <c r="F24" s="64" t="s">
        <v>31</v>
      </c>
      <c r="G24" s="22" t="s">
        <v>30</v>
      </c>
      <c r="H24" s="49"/>
      <c r="I24" s="50"/>
      <c r="J24" s="51"/>
      <c r="K24" s="52">
        <v>0.5</v>
      </c>
      <c r="L24" s="22">
        <v>325</v>
      </c>
      <c r="M24" s="51">
        <v>30</v>
      </c>
      <c r="N24" s="52">
        <v>0.45</v>
      </c>
      <c r="O24" s="22">
        <v>325</v>
      </c>
      <c r="P24" s="51">
        <v>35</v>
      </c>
      <c r="Q24" s="28" t="str">
        <f>IFERROR(VLOOKUP('CONVERSOR EHE-08 a CodE'!C9,F$24:G$26,2,FALSE),"")</f>
        <v/>
      </c>
      <c r="S24" s="29" t="str">
        <f>IF(Q24="","",IF(S$5=1,Q24,IF(S$5=2,Q25,IF(S$5=3,Q26,""))))</f>
        <v/>
      </c>
      <c r="T24" s="30"/>
      <c r="U24" s="31"/>
    </row>
    <row r="25" spans="1:21" ht="15" customHeight="1" x14ac:dyDescent="0.25">
      <c r="A25" s="77"/>
      <c r="E25" s="335"/>
      <c r="F25" s="33" t="s">
        <v>26</v>
      </c>
      <c r="G25" s="34" t="s">
        <v>32</v>
      </c>
      <c r="H25" s="35"/>
      <c r="I25" s="36"/>
      <c r="J25" s="37"/>
      <c r="K25" s="38">
        <v>0.5</v>
      </c>
      <c r="L25" s="34">
        <v>325</v>
      </c>
      <c r="M25" s="37">
        <v>30</v>
      </c>
      <c r="N25" s="38">
        <v>0.45</v>
      </c>
      <c r="O25" s="34">
        <v>325</v>
      </c>
      <c r="P25" s="37">
        <v>35</v>
      </c>
      <c r="Q25" s="39" t="str">
        <f>IFERROR(VLOOKUP('CONVERSOR EHE-08 a CodE'!C10,F$24:G$26,2,FALSE),"")</f>
        <v/>
      </c>
      <c r="S25" s="40"/>
      <c r="T25" s="30"/>
      <c r="U25" s="31"/>
    </row>
    <row r="26" spans="1:21" ht="15.75" customHeight="1" thickBot="1" x14ac:dyDescent="0.3">
      <c r="A26" s="78" t="str">
        <f>"-"</f>
        <v>-</v>
      </c>
      <c r="E26" s="336"/>
      <c r="F26" s="42" t="s">
        <v>29</v>
      </c>
      <c r="G26" s="43" t="s">
        <v>33</v>
      </c>
      <c r="H26" s="44"/>
      <c r="I26" s="45"/>
      <c r="J26" s="46"/>
      <c r="K26" s="47">
        <v>0.5</v>
      </c>
      <c r="L26" s="43">
        <v>325</v>
      </c>
      <c r="M26" s="46">
        <v>30</v>
      </c>
      <c r="N26" s="47">
        <v>0.45</v>
      </c>
      <c r="O26" s="43">
        <v>325</v>
      </c>
      <c r="P26" s="46">
        <v>35</v>
      </c>
      <c r="Q26" s="48" t="str">
        <f>IFERROR(VLOOKUP('CONVERSOR EHE-08 a CodE'!C11,F$24:G$26,2,FALSE),"")</f>
        <v/>
      </c>
      <c r="S26" s="40"/>
      <c r="T26" s="30"/>
      <c r="U26" s="31"/>
    </row>
    <row r="27" spans="1:21" ht="19.5" thickBot="1" x14ac:dyDescent="0.3">
      <c r="A27" s="79">
        <v>10</v>
      </c>
      <c r="E27" s="80" t="s">
        <v>13</v>
      </c>
      <c r="F27" s="81" t="s">
        <v>52</v>
      </c>
      <c r="G27" s="82" t="s">
        <v>44</v>
      </c>
      <c r="H27" s="83">
        <v>0.5</v>
      </c>
      <c r="I27" s="84">
        <v>275</v>
      </c>
      <c r="J27" s="85">
        <v>30</v>
      </c>
      <c r="K27" s="86">
        <v>0.5</v>
      </c>
      <c r="L27" s="82">
        <v>325</v>
      </c>
      <c r="M27" s="85">
        <v>30</v>
      </c>
      <c r="N27" s="86">
        <v>0.5</v>
      </c>
      <c r="O27" s="82">
        <v>325</v>
      </c>
      <c r="P27" s="82">
        <v>30</v>
      </c>
      <c r="Q27" s="87" t="str">
        <f>IFERROR(VLOOKUP('CONVERSOR EHE-08 a CodE'!C14,F$27:G$29,2,FALSE),"")</f>
        <v/>
      </c>
      <c r="R27" s="87" t="str">
        <f>IFERROR(VLOOKUP('CONVERSOR EHE-08 a CodE'!C19,F$27:G$29,2,FALSE),"")</f>
        <v/>
      </c>
      <c r="S27" s="88"/>
      <c r="T27" s="29" t="str">
        <f>IF(Q27="","",IF(T$5=1,Q27,IF(T$5=2,Q28,IF(T$5=3,Q29,""))))</f>
        <v/>
      </c>
      <c r="U27" s="29" t="str">
        <f>IF(R27="","",IF(U$5=1,R27,IF(U$5=2,R28,IF(U$5=3,R29,""))))</f>
        <v/>
      </c>
    </row>
    <row r="28" spans="1:21" ht="18.75" x14ac:dyDescent="0.25">
      <c r="A28" s="79">
        <v>12</v>
      </c>
      <c r="E28" s="89"/>
      <c r="F28" s="90" t="s">
        <v>2</v>
      </c>
      <c r="G28" s="91" t="s">
        <v>2</v>
      </c>
      <c r="H28" s="92"/>
      <c r="I28" s="93"/>
      <c r="J28" s="94"/>
      <c r="K28" s="95"/>
      <c r="L28" s="96"/>
      <c r="M28" s="94"/>
      <c r="N28" s="95"/>
      <c r="O28" s="96"/>
      <c r="P28" s="96"/>
      <c r="Q28" s="97" t="str">
        <f>IFERROR(VLOOKUP('CONVERSOR EHE-08 a CodE'!C15,F$27:G$29,2,FALSE),"")</f>
        <v/>
      </c>
      <c r="R28" s="115" t="str">
        <f>IFERROR(VLOOKUP('CONVERSOR EHE-08 a CodE'!C20,F$27:G$29,2,FALSE),"")</f>
        <v/>
      </c>
      <c r="S28" s="30"/>
      <c r="T28" s="30"/>
      <c r="U28" s="98"/>
    </row>
    <row r="29" spans="1:21" ht="19.5" thickBot="1" x14ac:dyDescent="0.3">
      <c r="A29" s="79">
        <v>20</v>
      </c>
      <c r="E29" s="99"/>
      <c r="F29" s="100" t="s">
        <v>2</v>
      </c>
      <c r="G29" s="91" t="s">
        <v>2</v>
      </c>
      <c r="H29" s="101"/>
      <c r="I29" s="102"/>
      <c r="J29" s="103"/>
      <c r="K29" s="104"/>
      <c r="L29" s="105"/>
      <c r="M29" s="103"/>
      <c r="N29" s="104"/>
      <c r="O29" s="105"/>
      <c r="P29" s="105"/>
      <c r="Q29" s="106" t="str">
        <f>IFERROR(VLOOKUP('CONVERSOR EHE-08 a CodE'!C16,F$27:G$29,2,FALSE),"")</f>
        <v/>
      </c>
      <c r="R29" s="117" t="str">
        <f>IFERROR(VLOOKUP('CONVERSOR EHE-08 a CodE'!C21,F$27:G$29,2,FALSE),"")</f>
        <v/>
      </c>
      <c r="S29" s="30"/>
      <c r="T29" s="30"/>
      <c r="U29" s="98"/>
    </row>
    <row r="30" spans="1:21" ht="19.5" thickBot="1" x14ac:dyDescent="0.3">
      <c r="A30" s="107">
        <v>22</v>
      </c>
      <c r="E30" s="80" t="s">
        <v>14</v>
      </c>
      <c r="F30" s="81" t="s">
        <v>91</v>
      </c>
      <c r="G30" s="82" t="s">
        <v>45</v>
      </c>
      <c r="H30" s="83">
        <v>0.5</v>
      </c>
      <c r="I30" s="84">
        <v>300</v>
      </c>
      <c r="J30" s="85">
        <v>30</v>
      </c>
      <c r="K30" s="86">
        <v>0.5</v>
      </c>
      <c r="L30" s="82">
        <v>350</v>
      </c>
      <c r="M30" s="85">
        <v>30</v>
      </c>
      <c r="N30" s="86">
        <v>0.45</v>
      </c>
      <c r="O30" s="82">
        <v>350</v>
      </c>
      <c r="P30" s="82">
        <v>35</v>
      </c>
      <c r="Q30" s="87" t="str">
        <f>IFERROR(VLOOKUP('CONVERSOR EHE-08 a CodE'!C14,F$30:G$32,2,FALSE),"")</f>
        <v/>
      </c>
      <c r="R30" s="28" t="str">
        <f>IFERROR(VLOOKUP('CONVERSOR EHE-08 a CodE'!C19,F$30:G$32,2,FALSE),"")</f>
        <v/>
      </c>
      <c r="S30" s="88"/>
      <c r="T30" s="29" t="str">
        <f>IF(Q30="","",IF(T$5=1,Q30,IF(T$5=2,Q31,IF(T$5=3,Q32,""))))</f>
        <v/>
      </c>
      <c r="U30" s="108" t="str">
        <f>IF(R30="","",IF(U$5=1,R30,IF(U$5=2,R31,IF(U$5=3,R32,""))))</f>
        <v/>
      </c>
    </row>
    <row r="31" spans="1:21" ht="18.75" x14ac:dyDescent="0.25">
      <c r="E31" s="89"/>
      <c r="F31" s="90" t="s">
        <v>2</v>
      </c>
      <c r="G31" s="91" t="s">
        <v>2</v>
      </c>
      <c r="H31" s="92"/>
      <c r="I31" s="93"/>
      <c r="J31" s="94"/>
      <c r="K31" s="95"/>
      <c r="L31" s="96"/>
      <c r="M31" s="94"/>
      <c r="N31" s="95"/>
      <c r="O31" s="96"/>
      <c r="P31" s="96"/>
      <c r="Q31" s="97" t="str">
        <f>IFERROR(VLOOKUP('CONVERSOR EHE-08 a CodE'!C15,F$30:G$32,2,FALSE),"")</f>
        <v/>
      </c>
      <c r="R31" s="109" t="str">
        <f>IFERROR(VLOOKUP('CONVERSOR EHE-08 a CodE'!C20,F$30:G$32,2,FALSE),"")</f>
        <v/>
      </c>
      <c r="S31" s="88"/>
      <c r="T31" s="30"/>
      <c r="U31" s="98"/>
    </row>
    <row r="32" spans="1:21" ht="19.5" thickBot="1" x14ac:dyDescent="0.3">
      <c r="E32" s="99"/>
      <c r="F32" s="100" t="s">
        <v>2</v>
      </c>
      <c r="G32" s="91" t="s">
        <v>2</v>
      </c>
      <c r="H32" s="101"/>
      <c r="I32" s="102"/>
      <c r="J32" s="103"/>
      <c r="K32" s="104"/>
      <c r="L32" s="105"/>
      <c r="M32" s="103"/>
      <c r="N32" s="104"/>
      <c r="O32" s="105"/>
      <c r="P32" s="105"/>
      <c r="Q32" s="110" t="str">
        <f>IFERROR(VLOOKUP('CONVERSOR EHE-08 a CodE'!C16,F$30:G$32,2,FALSE),"")</f>
        <v/>
      </c>
      <c r="R32" s="111" t="str">
        <f>IFERROR(VLOOKUP('CONVERSOR EHE-08 a CodE'!C21,F$30:G$32,2,FALSE),"")</f>
        <v/>
      </c>
      <c r="S32" s="88"/>
      <c r="T32" s="30"/>
      <c r="U32" s="98"/>
    </row>
    <row r="33" spans="5:21" ht="19.5" thickBot="1" x14ac:dyDescent="0.3">
      <c r="E33" s="80" t="s">
        <v>15</v>
      </c>
      <c r="F33" s="81" t="s">
        <v>51</v>
      </c>
      <c r="G33" s="82" t="s">
        <v>46</v>
      </c>
      <c r="H33" s="83">
        <v>0.45</v>
      </c>
      <c r="I33" s="84">
        <v>325</v>
      </c>
      <c r="J33" s="85">
        <v>35</v>
      </c>
      <c r="K33" s="86">
        <v>0.45</v>
      </c>
      <c r="L33" s="82">
        <v>350</v>
      </c>
      <c r="M33" s="85">
        <v>35</v>
      </c>
      <c r="N33" s="86">
        <v>0.45</v>
      </c>
      <c r="O33" s="82">
        <v>350</v>
      </c>
      <c r="P33" s="85">
        <v>35</v>
      </c>
      <c r="Q33" s="112" t="str">
        <f>IFERROR(VLOOKUP('CONVERSOR EHE-08 a CodE'!C14,F$33:G$35,2,FALSE),"")</f>
        <v/>
      </c>
      <c r="R33" s="113" t="str">
        <f>IFERROR(VLOOKUP('CONVERSOR EHE-08 a CodE'!C19,F$33:G$35,2,FALSE),"")</f>
        <v/>
      </c>
      <c r="S33" s="88"/>
      <c r="T33" s="29" t="str">
        <f>IF(Q33="","",IF(T$5=1,Q33,IF(T$5=2,Q34,IF(T$5=3,Q35,""))))</f>
        <v/>
      </c>
      <c r="U33" s="108" t="str">
        <f>IF(R33="","",IF(U$5=1,R33,IF(U$5=2,R34,IF(U$5=3,R35,""))))</f>
        <v/>
      </c>
    </row>
    <row r="34" spans="5:21" ht="18.75" x14ac:dyDescent="0.25">
      <c r="E34" s="89"/>
      <c r="F34" s="90" t="s">
        <v>2</v>
      </c>
      <c r="G34" s="91" t="s">
        <v>2</v>
      </c>
      <c r="H34" s="92"/>
      <c r="I34" s="93"/>
      <c r="J34" s="94"/>
      <c r="K34" s="95"/>
      <c r="L34" s="96"/>
      <c r="M34" s="94"/>
      <c r="N34" s="95"/>
      <c r="O34" s="96"/>
      <c r="P34" s="94"/>
      <c r="Q34" s="114" t="str">
        <f>IFERROR(VLOOKUP('CONVERSOR EHE-08 a CodE'!C15,F$33:G$35,2,FALSE),"")</f>
        <v/>
      </c>
      <c r="R34" s="115" t="str">
        <f>IFERROR(VLOOKUP('CONVERSOR EHE-08 a CodE'!C20,F$33:G$35,2,FALSE),"")</f>
        <v/>
      </c>
      <c r="S34" s="88"/>
      <c r="T34" s="30"/>
      <c r="U34" s="98"/>
    </row>
    <row r="35" spans="5:21" ht="19.5" thickBot="1" x14ac:dyDescent="0.3">
      <c r="E35" s="99"/>
      <c r="F35" s="100" t="s">
        <v>2</v>
      </c>
      <c r="G35" s="91" t="s">
        <v>2</v>
      </c>
      <c r="H35" s="101"/>
      <c r="I35" s="102"/>
      <c r="J35" s="103"/>
      <c r="K35" s="104"/>
      <c r="L35" s="105"/>
      <c r="M35" s="103"/>
      <c r="N35" s="104"/>
      <c r="O35" s="105"/>
      <c r="P35" s="103"/>
      <c r="Q35" s="116" t="str">
        <f>IFERROR(VLOOKUP('CONVERSOR EHE-08 a CodE'!C16,F$33:G$35,2,FALSE),"")</f>
        <v/>
      </c>
      <c r="R35" s="117" t="str">
        <f>IFERROR(VLOOKUP('CONVERSOR EHE-08 a CodE'!C21,F$33:G$35,2,FALSE),"")</f>
        <v/>
      </c>
      <c r="S35" s="88"/>
      <c r="T35" s="30"/>
      <c r="U35" s="98"/>
    </row>
    <row r="36" spans="5:21" ht="15.75" customHeight="1" thickBot="1" x14ac:dyDescent="0.3">
      <c r="E36" s="331" t="s">
        <v>16</v>
      </c>
      <c r="F36" s="81" t="s">
        <v>53</v>
      </c>
      <c r="G36" s="82" t="s">
        <v>40</v>
      </c>
      <c r="H36" s="83">
        <v>0.55000000000000004</v>
      </c>
      <c r="I36" s="84">
        <v>275</v>
      </c>
      <c r="J36" s="85">
        <v>30</v>
      </c>
      <c r="K36" s="86">
        <v>0.55000000000000004</v>
      </c>
      <c r="L36" s="82">
        <v>300</v>
      </c>
      <c r="M36" s="85">
        <v>30</v>
      </c>
      <c r="N36" s="86">
        <v>0.45</v>
      </c>
      <c r="O36" s="82">
        <v>300</v>
      </c>
      <c r="P36" s="85">
        <v>30</v>
      </c>
      <c r="Q36" s="119" t="str">
        <f>IFERROR(VLOOKUP('CONVERSOR EHE-08 a CodE'!C14,F$36:G$38,2,FALSE),"")</f>
        <v/>
      </c>
      <c r="R36" s="87" t="str">
        <f>IFERROR(VLOOKUP('CONVERSOR EHE-08 a CodE'!C19,F$36:G$38,2,FALSE),"")</f>
        <v/>
      </c>
      <c r="S36" s="88"/>
      <c r="T36" s="29" t="str">
        <f>IF(Q36="","",IF(T$5=1,Q36,IF(T$5=2,Q37,IF(T$5=3,Q38,""))))</f>
        <v/>
      </c>
      <c r="U36" s="108" t="str">
        <f>IF(R36="","",IF(U$5=1,R36,IF(U$5=2,R37,IF(U$5=3,R38,""))))</f>
        <v/>
      </c>
    </row>
    <row r="37" spans="5:21" ht="15" customHeight="1" x14ac:dyDescent="0.25">
      <c r="E37" s="332"/>
      <c r="F37" s="118" t="s">
        <v>54</v>
      </c>
      <c r="G37" s="96" t="s">
        <v>42</v>
      </c>
      <c r="H37" s="92">
        <v>0.55000000000000004</v>
      </c>
      <c r="I37" s="93">
        <v>275</v>
      </c>
      <c r="J37" s="94">
        <v>30</v>
      </c>
      <c r="K37" s="95">
        <v>0.55000000000000004</v>
      </c>
      <c r="L37" s="96">
        <v>300</v>
      </c>
      <c r="M37" s="94">
        <v>30</v>
      </c>
      <c r="N37" s="95">
        <v>0.45</v>
      </c>
      <c r="O37" s="96">
        <v>300</v>
      </c>
      <c r="P37" s="94">
        <v>30</v>
      </c>
      <c r="Q37" s="114" t="str">
        <f>IFERROR(VLOOKUP('CONVERSOR EHE-08 a CodE'!C15,F$36:G$38,2,FALSE),"")</f>
        <v/>
      </c>
      <c r="R37" s="115" t="str">
        <f>IFERROR(VLOOKUP('CONVERSOR EHE-08 a CodE'!C20,F$36:G$38,2,FALSE),"")</f>
        <v/>
      </c>
      <c r="S37" s="30"/>
      <c r="T37" s="30"/>
      <c r="U37" s="98"/>
    </row>
    <row r="38" spans="5:21" ht="15.75" customHeight="1" thickBot="1" x14ac:dyDescent="0.3">
      <c r="E38" s="333"/>
      <c r="F38" s="100" t="s">
        <v>2</v>
      </c>
      <c r="G38" s="91" t="s">
        <v>2</v>
      </c>
      <c r="H38" s="101"/>
      <c r="I38" s="102"/>
      <c r="J38" s="103"/>
      <c r="K38" s="104"/>
      <c r="L38" s="105"/>
      <c r="M38" s="103"/>
      <c r="N38" s="104"/>
      <c r="O38" s="105"/>
      <c r="P38" s="103"/>
      <c r="Q38" s="116" t="str">
        <f>IFERROR(VLOOKUP('CONVERSOR EHE-08 a CodE'!C16,F$36:G$38,2,FALSE),"")</f>
        <v/>
      </c>
      <c r="R38" s="117" t="str">
        <f>IFERROR(VLOOKUP('CONVERSOR EHE-08 a CodE'!C21,F$36:G$38,2,FALSE),"")</f>
        <v/>
      </c>
      <c r="S38" s="30"/>
      <c r="T38" s="30"/>
      <c r="U38" s="98"/>
    </row>
    <row r="39" spans="5:21" ht="15.75" customHeight="1" thickBot="1" x14ac:dyDescent="0.3">
      <c r="E39" s="331" t="s">
        <v>17</v>
      </c>
      <c r="F39" s="81" t="s">
        <v>55</v>
      </c>
      <c r="G39" s="82" t="s">
        <v>41</v>
      </c>
      <c r="H39" s="83">
        <v>0.5</v>
      </c>
      <c r="I39" s="84">
        <v>300</v>
      </c>
      <c r="J39" s="85">
        <v>30</v>
      </c>
      <c r="K39" s="86">
        <v>0.5</v>
      </c>
      <c r="L39" s="82">
        <v>325</v>
      </c>
      <c r="M39" s="85">
        <v>30</v>
      </c>
      <c r="N39" s="86">
        <v>0.5</v>
      </c>
      <c r="O39" s="82">
        <v>325</v>
      </c>
      <c r="P39" s="85">
        <v>30</v>
      </c>
      <c r="Q39" s="119" t="str">
        <f>IFERROR(VLOOKUP('CONVERSOR EHE-08 a CodE'!C14,F$39:G$41,2,FALSE),"")</f>
        <v/>
      </c>
      <c r="R39" s="87" t="str">
        <f>IFERROR(VLOOKUP('CONVERSOR EHE-08 a CodE'!C19,F$39:G$41,2,FALSE),"")</f>
        <v/>
      </c>
      <c r="S39" s="30"/>
      <c r="T39" s="29" t="str">
        <f>IF(Q39="","",IF(T$5=1,Q39,IF(T$5=2,Q40,IF(T$5=3,Q41,""))))</f>
        <v/>
      </c>
      <c r="U39" s="108" t="str">
        <f>IF(R39="","",IF(U$5=1,R39,IF(U$5=2,R40,IF(U$5=3,R41,""))))</f>
        <v/>
      </c>
    </row>
    <row r="40" spans="5:21" ht="15" customHeight="1" x14ac:dyDescent="0.25">
      <c r="E40" s="332"/>
      <c r="F40" s="118" t="s">
        <v>56</v>
      </c>
      <c r="G40" s="96" t="s">
        <v>43</v>
      </c>
      <c r="H40" s="92">
        <v>0.5</v>
      </c>
      <c r="I40" s="93">
        <v>300</v>
      </c>
      <c r="J40" s="94">
        <v>30</v>
      </c>
      <c r="K40" s="95">
        <v>0.5</v>
      </c>
      <c r="L40" s="96">
        <v>325</v>
      </c>
      <c r="M40" s="94">
        <v>30</v>
      </c>
      <c r="N40" s="95">
        <v>0.5</v>
      </c>
      <c r="O40" s="96">
        <v>325</v>
      </c>
      <c r="P40" s="94">
        <v>30</v>
      </c>
      <c r="Q40" s="114" t="str">
        <f>IFERROR(VLOOKUP('CONVERSOR EHE-08 a CodE'!C15,F$39:G$41,2,FALSE),"")</f>
        <v/>
      </c>
      <c r="R40" s="115" t="str">
        <f>IFERROR(VLOOKUP('CONVERSOR EHE-08 a CodE'!C20,F$39:G$41,2,FALSE),"")</f>
        <v/>
      </c>
      <c r="S40" s="30"/>
      <c r="T40" s="30"/>
      <c r="U40" s="98"/>
    </row>
    <row r="41" spans="5:21" ht="15.75" customHeight="1" thickBot="1" x14ac:dyDescent="0.3">
      <c r="E41" s="333"/>
      <c r="F41" s="100" t="s">
        <v>2</v>
      </c>
      <c r="G41" s="91" t="s">
        <v>2</v>
      </c>
      <c r="H41" s="101"/>
      <c r="I41" s="102"/>
      <c r="J41" s="103"/>
      <c r="K41" s="104"/>
      <c r="L41" s="105"/>
      <c r="M41" s="103"/>
      <c r="N41" s="104"/>
      <c r="O41" s="105"/>
      <c r="P41" s="103"/>
      <c r="Q41" s="116" t="str">
        <f>IFERROR(VLOOKUP('CONVERSOR EHE-08 a CodE'!C16,F$39:G$41,2,FALSE),"")</f>
        <v/>
      </c>
      <c r="R41" s="117" t="str">
        <f>IFERROR(VLOOKUP('CONVERSOR EHE-08 a CodE'!C21,F$39:G$41,2,FALSE),"")</f>
        <v/>
      </c>
      <c r="S41" s="30"/>
      <c r="T41" s="30"/>
      <c r="U41" s="98"/>
    </row>
    <row r="42" spans="5:21" ht="15.75" customHeight="1" thickBot="1" x14ac:dyDescent="0.3">
      <c r="E42" s="331" t="s">
        <v>18</v>
      </c>
      <c r="F42" s="81" t="s">
        <v>59</v>
      </c>
      <c r="G42" s="82" t="s">
        <v>47</v>
      </c>
      <c r="H42" s="83">
        <v>0.5</v>
      </c>
      <c r="I42" s="84">
        <v>300</v>
      </c>
      <c r="J42" s="85">
        <v>30</v>
      </c>
      <c r="K42" s="86">
        <v>0.5</v>
      </c>
      <c r="L42" s="82">
        <v>325</v>
      </c>
      <c r="M42" s="85">
        <v>30</v>
      </c>
      <c r="N42" s="86">
        <v>0.5</v>
      </c>
      <c r="O42" s="82">
        <v>325</v>
      </c>
      <c r="P42" s="85">
        <v>30</v>
      </c>
      <c r="Q42" s="119" t="str">
        <f>IFERROR(VLOOKUP('CONVERSOR EHE-08 a CodE'!C14,F$42:G$44,2,FALSE),"")</f>
        <v/>
      </c>
      <c r="R42" s="113" t="str">
        <f>IFERROR(VLOOKUP('CONVERSOR EHE-08 a CodE'!C19,F$42:G$44,2,FALSE),"")</f>
        <v/>
      </c>
      <c r="S42" s="30"/>
      <c r="T42" s="29" t="str">
        <f>IF(Q42="","",IF(T$5=1,Q42,IF(T$5=2,Q43,IF(T$5=3,Q44,""))))</f>
        <v/>
      </c>
      <c r="U42" s="108" t="str">
        <f>IF(R42="","",IF(U$5=1,R42,IF(U$5=2,R43,IF(U$5=3,R44,""))))</f>
        <v/>
      </c>
    </row>
    <row r="43" spans="5:21" ht="15" customHeight="1" x14ac:dyDescent="0.25">
      <c r="E43" s="332"/>
      <c r="F43" s="118" t="s">
        <v>60</v>
      </c>
      <c r="G43" s="96" t="s">
        <v>48</v>
      </c>
      <c r="H43" s="92">
        <v>0.5</v>
      </c>
      <c r="I43" s="93">
        <v>300</v>
      </c>
      <c r="J43" s="94">
        <v>30</v>
      </c>
      <c r="K43" s="95">
        <v>0.5</v>
      </c>
      <c r="L43" s="96">
        <v>325</v>
      </c>
      <c r="M43" s="94">
        <v>30</v>
      </c>
      <c r="N43" s="95">
        <v>0.5</v>
      </c>
      <c r="O43" s="96">
        <v>325</v>
      </c>
      <c r="P43" s="94">
        <v>30</v>
      </c>
      <c r="Q43" s="114" t="str">
        <f>IFERROR(VLOOKUP('CONVERSOR EHE-08 a CodE'!C15,F$42:G$44,2,FALSE),"")</f>
        <v/>
      </c>
      <c r="R43" s="115" t="str">
        <f>IFERROR(VLOOKUP('CONVERSOR EHE-08 a CodE'!C20,F$42:G$44,2,FALSE),"")</f>
        <v/>
      </c>
      <c r="S43" s="30"/>
      <c r="T43" s="30"/>
      <c r="U43" s="31"/>
    </row>
    <row r="44" spans="5:21" ht="15.75" customHeight="1" thickBot="1" x14ac:dyDescent="0.3">
      <c r="E44" s="333"/>
      <c r="F44" s="120" t="s">
        <v>61</v>
      </c>
      <c r="G44" s="105" t="s">
        <v>49</v>
      </c>
      <c r="H44" s="121">
        <v>0.5</v>
      </c>
      <c r="I44" s="122">
        <v>300</v>
      </c>
      <c r="J44" s="123">
        <v>30</v>
      </c>
      <c r="K44" s="124">
        <v>0.5</v>
      </c>
      <c r="L44" s="125">
        <v>325</v>
      </c>
      <c r="M44" s="123">
        <v>30</v>
      </c>
      <c r="N44" s="124">
        <v>0.5</v>
      </c>
      <c r="O44" s="125">
        <v>325</v>
      </c>
      <c r="P44" s="123">
        <v>30</v>
      </c>
      <c r="Q44" s="116" t="str">
        <f>IFERROR(VLOOKUP('CONVERSOR EHE-08 a CodE'!C16,F$42:G$44,2,FALSE),"")</f>
        <v/>
      </c>
      <c r="R44" s="216" t="str">
        <f>IFERROR(VLOOKUP('CONVERSOR EHE-08 a CodE'!C21,F$42:G$44,2,FALSE),"")</f>
        <v/>
      </c>
      <c r="S44" s="126"/>
      <c r="T44" s="126"/>
      <c r="U44" s="127"/>
    </row>
    <row r="45" spans="5:21" ht="22.5" thickTop="1" thickBot="1" x14ac:dyDescent="0.3">
      <c r="H45" s="128">
        <f>IFERROR(VLOOKUP(S$45,G$6:H$44,2,FALSE),"")</f>
        <v>0</v>
      </c>
      <c r="I45" s="129">
        <f>IFERROR(VLOOKUP(S45,G$6:I$44,3,FALSE),"")</f>
        <v>0</v>
      </c>
      <c r="J45" s="130">
        <f>IFERROR(VLOOKUP(S45,G$6:J$44,4,FALSE),"")</f>
        <v>0</v>
      </c>
      <c r="K45" s="128">
        <f>IFERROR(VLOOKUP(S45,G6:K44,5,FALSE),"")</f>
        <v>0.6</v>
      </c>
      <c r="L45" s="129">
        <f>IFERROR(VLOOKUP(S45,G6:L44,6,FALSE),"")</f>
        <v>275</v>
      </c>
      <c r="M45" s="130">
        <f>IFERROR(VLOOKUP(S45,G6:M44,7,FALSE),"")</f>
        <v>25</v>
      </c>
      <c r="N45" s="131">
        <f>IFERROR(VLOOKUP(S$45,G$6:N$44,8,FALSE),"")</f>
        <v>0.6</v>
      </c>
      <c r="O45" s="129">
        <f>IFERROR(VLOOKUP(S45,G$6:O$44,9,FALSE),"")</f>
        <v>300</v>
      </c>
      <c r="P45" s="130">
        <f>IFERROR(VLOOKUP(S45,G$6:P$44,10,FALSE),"")</f>
        <v>25</v>
      </c>
      <c r="S45" s="132" t="str" cm="1">
        <f t="array" ref="S45">IFERROR(LOOKUP(2,1/(S6:S44&lt;&gt;""),S6:S44),"")</f>
        <v>XC2</v>
      </c>
      <c r="T45" s="133" t="str" cm="1">
        <f t="array" ref="T45">IFERROR(LOOKUP(2,1/(T6:T44&lt;&gt;""),T6:T44),"")</f>
        <v/>
      </c>
      <c r="U45" s="134" t="str" cm="1">
        <f t="array" ref="U45">IFERROR(LOOKUP(2,1/(U6:U44&lt;&gt;""),U6:U44),"")</f>
        <v/>
      </c>
    </row>
    <row r="46" spans="5:21" ht="21" x14ac:dyDescent="0.25">
      <c r="H46" s="135" t="str">
        <f>IFERROR(VLOOKUP(T45,G6:H44,2,FALSE),"")</f>
        <v/>
      </c>
      <c r="I46" s="136" t="str">
        <f>IFERROR(VLOOKUP(T45,G6:I44,3,FALSE),"")</f>
        <v/>
      </c>
      <c r="J46" s="137" t="str">
        <f>IFERROR(VLOOKUP(T45,G6:J44,4,FALSE),"")</f>
        <v/>
      </c>
      <c r="K46" s="135" t="str">
        <f>IFERROR(VLOOKUP(T45,G6:K44,5,FALSE),"")</f>
        <v/>
      </c>
      <c r="L46" s="136" t="str">
        <f>IFERROR(VLOOKUP(T45,G6:L44,6,FALSE),"")</f>
        <v/>
      </c>
      <c r="M46" s="137" t="str">
        <f>IFERROR(VLOOKUP(T45,G6:M44,7,FALSE),"")</f>
        <v/>
      </c>
      <c r="N46" s="138" t="str">
        <f>IFERROR(VLOOKUP(T$45,G$6:N$44,8,FALSE),"")</f>
        <v/>
      </c>
      <c r="O46" s="136" t="str">
        <f>IFERROR(VLOOKUP(T45,G$6:O$44,9,FALSE),"")</f>
        <v/>
      </c>
      <c r="P46" s="137" t="str">
        <f>IFERROR(VLOOKUP(T45,G$6:P$44,10,FALSE),"")</f>
        <v/>
      </c>
    </row>
    <row r="47" spans="5:21" ht="21.75" thickBot="1" x14ac:dyDescent="0.3">
      <c r="H47" s="139" t="str">
        <f>IFERROR(VLOOKUP(U45,G6:H44,2,FALSE),"")</f>
        <v/>
      </c>
      <c r="I47" s="140" t="str">
        <f>IFERROR(VLOOKUP(U45,G6:I44,3,FALSE),"")</f>
        <v/>
      </c>
      <c r="J47" s="141" t="str">
        <f>IFERROR(VLOOKUP(U45,G6:J44,4,FALSE),"")</f>
        <v/>
      </c>
      <c r="K47" s="139" t="str">
        <f>IFERROR(VLOOKUP(U45,G6:K44,5,FALSE),"")</f>
        <v/>
      </c>
      <c r="L47" s="140" t="str">
        <f>IFERROR(VLOOKUP(U45,G6:L44,6,FALSE),"")</f>
        <v/>
      </c>
      <c r="M47" s="141" t="str">
        <f>IFERROR(VLOOKUP(U45,G6:M44,7,FALSE),"")</f>
        <v/>
      </c>
      <c r="N47" s="142" t="str">
        <f>IFERROR(VLOOKUP(U$45,G$6:N$44,8,FALSE),"")</f>
        <v/>
      </c>
      <c r="O47" s="140" t="str">
        <f>IFERROR(VLOOKUP(U45,G$6:O$44,9,FALSE),"")</f>
        <v/>
      </c>
      <c r="P47" s="141" t="str">
        <f>IFERROR(VLOOKUP(U45,G$6:P$44,10,FALSE),"")</f>
        <v/>
      </c>
    </row>
    <row r="48" spans="5:21" ht="19.5" thickTop="1" x14ac:dyDescent="0.25">
      <c r="H48" s="328" t="s">
        <v>0</v>
      </c>
      <c r="I48" s="329"/>
      <c r="J48" s="330"/>
      <c r="K48" s="328" t="s">
        <v>4</v>
      </c>
      <c r="L48" s="329"/>
      <c r="M48" s="330"/>
      <c r="N48" s="328" t="s">
        <v>5</v>
      </c>
      <c r="O48" s="329"/>
      <c r="P48" s="330"/>
    </row>
    <row r="49" spans="1:16" ht="15.75" thickBot="1" x14ac:dyDescent="0.3">
      <c r="H49" s="16" t="s">
        <v>57</v>
      </c>
      <c r="I49" s="17" t="s">
        <v>58</v>
      </c>
      <c r="J49" s="18" t="s">
        <v>62</v>
      </c>
      <c r="K49" s="16" t="s">
        <v>57</v>
      </c>
      <c r="L49" s="17" t="s">
        <v>58</v>
      </c>
      <c r="M49" s="18" t="s">
        <v>62</v>
      </c>
      <c r="N49" s="16" t="s">
        <v>57</v>
      </c>
      <c r="O49" s="17" t="s">
        <v>58</v>
      </c>
      <c r="P49" s="18" t="s">
        <v>62</v>
      </c>
    </row>
    <row r="50" spans="1:16" ht="19.5" thickBot="1" x14ac:dyDescent="0.3">
      <c r="H50" s="143">
        <f>IFERROR(MIN(H45:H47),"")</f>
        <v>0</v>
      </c>
      <c r="I50" s="144">
        <f>IFERROR(MAX(I45:I47),"")</f>
        <v>0</v>
      </c>
      <c r="J50" s="145">
        <f>IFERROR(MAX(J45:J47),"")</f>
        <v>0</v>
      </c>
      <c r="K50" s="143">
        <f>IFERROR(MIN(K45:K47),"")</f>
        <v>0.6</v>
      </c>
      <c r="L50" s="144">
        <f>IFERROR(MAX(L45:L47),"")</f>
        <v>275</v>
      </c>
      <c r="M50" s="145">
        <f>IFERROR(MAX(M45:M47),"")</f>
        <v>25</v>
      </c>
      <c r="N50" s="146">
        <f>IFERROR(MIN(N45:N47),"")</f>
        <v>0.6</v>
      </c>
      <c r="O50" s="144">
        <f>IFERROR(MAX(O45:O47),"")</f>
        <v>300</v>
      </c>
      <c r="P50" s="145">
        <f>IFERROR(MAX(P45:P47),"")</f>
        <v>25</v>
      </c>
    </row>
    <row r="51" spans="1:16" ht="15.75" thickTop="1" x14ac:dyDescent="0.25"/>
    <row r="53" spans="1:16" x14ac:dyDescent="0.25">
      <c r="A53" s="147" t="s">
        <v>6</v>
      </c>
      <c r="B53" s="148" t="s">
        <v>63</v>
      </c>
      <c r="G53"/>
    </row>
    <row r="54" spans="1:16" ht="14.25" customHeight="1" x14ac:dyDescent="0.25">
      <c r="A54" s="147" t="s">
        <v>7</v>
      </c>
      <c r="B54" s="148" t="s">
        <v>64</v>
      </c>
      <c r="G54"/>
    </row>
    <row r="55" spans="1:16" x14ac:dyDescent="0.25">
      <c r="A55" s="147" t="s">
        <v>8</v>
      </c>
      <c r="B55" s="148" t="s">
        <v>64</v>
      </c>
      <c r="G55"/>
    </row>
    <row r="56" spans="1:16" ht="15.75" customHeight="1" x14ac:dyDescent="0.25">
      <c r="A56" s="147" t="s">
        <v>9</v>
      </c>
      <c r="B56" s="148" t="s">
        <v>68</v>
      </c>
      <c r="G56"/>
    </row>
    <row r="57" spans="1:16" ht="15" customHeight="1" x14ac:dyDescent="0.25">
      <c r="A57" s="147" t="s">
        <v>10</v>
      </c>
      <c r="B57" s="148" t="s">
        <v>68</v>
      </c>
      <c r="G57"/>
    </row>
    <row r="58" spans="1:16" ht="15" customHeight="1" x14ac:dyDescent="0.25">
      <c r="A58" s="147" t="s">
        <v>11</v>
      </c>
      <c r="B58" s="148" t="s">
        <v>68</v>
      </c>
      <c r="G58"/>
    </row>
    <row r="59" spans="1:16" ht="13.5" customHeight="1" x14ac:dyDescent="0.25">
      <c r="A59" s="147" t="s">
        <v>12</v>
      </c>
      <c r="B59" s="148" t="s">
        <v>65</v>
      </c>
      <c r="G59"/>
    </row>
    <row r="60" spans="1:16" ht="15" customHeight="1" x14ac:dyDescent="0.25">
      <c r="A60" s="147" t="s">
        <v>13</v>
      </c>
      <c r="B60" s="148" t="s">
        <v>66</v>
      </c>
      <c r="G60"/>
    </row>
    <row r="61" spans="1:16" x14ac:dyDescent="0.25">
      <c r="A61" s="147" t="s">
        <v>14</v>
      </c>
      <c r="B61" s="148" t="s">
        <v>66</v>
      </c>
      <c r="G61"/>
    </row>
    <row r="62" spans="1:16" x14ac:dyDescent="0.25">
      <c r="A62" s="147" t="s">
        <v>15</v>
      </c>
      <c r="B62" s="148" t="s">
        <v>66</v>
      </c>
      <c r="G62"/>
    </row>
    <row r="63" spans="1:16" x14ac:dyDescent="0.25">
      <c r="A63" s="147" t="s">
        <v>16</v>
      </c>
      <c r="B63" s="148" t="s">
        <v>69</v>
      </c>
      <c r="G63"/>
    </row>
    <row r="64" spans="1:16" x14ac:dyDescent="0.25">
      <c r="A64" s="147" t="s">
        <v>17</v>
      </c>
      <c r="B64" s="148" t="s">
        <v>69</v>
      </c>
      <c r="G64"/>
    </row>
    <row r="65" spans="1:7" x14ac:dyDescent="0.25">
      <c r="A65" s="147" t="s">
        <v>18</v>
      </c>
      <c r="B65" s="148" t="s">
        <v>70</v>
      </c>
      <c r="G65"/>
    </row>
    <row r="66" spans="1:7" x14ac:dyDescent="0.25">
      <c r="G66"/>
    </row>
    <row r="67" spans="1:7" ht="15.75" thickBot="1" x14ac:dyDescent="0.3"/>
    <row r="68" spans="1:7" x14ac:dyDescent="0.25">
      <c r="A68" s="151" t="s">
        <v>85</v>
      </c>
      <c r="B68" s="152"/>
      <c r="C68" s="153"/>
    </row>
    <row r="69" spans="1:7" x14ac:dyDescent="0.25">
      <c r="A69" s="154" t="s">
        <v>87</v>
      </c>
      <c r="B69" s="150"/>
      <c r="C69" s="155"/>
    </row>
    <row r="70" spans="1:7" x14ac:dyDescent="0.25">
      <c r="A70" s="156" t="s">
        <v>86</v>
      </c>
      <c r="B70">
        <f>'CONVERSOR EHE-08 a CodE'!D5</f>
        <v>25</v>
      </c>
      <c r="C70" s="157"/>
    </row>
    <row r="71" spans="1:7" x14ac:dyDescent="0.25">
      <c r="A71" s="158" t="s">
        <v>89</v>
      </c>
      <c r="B71" s="149">
        <f>IF('CONVERSOR EHE-08 a CodE'!M5="HA",M50,IF('CONVERSOR EHE-08 a CodE'!M5="HM",J50,IF('CONVERSOR EHE-08 a CodE'!M5="HP",P50,"")))</f>
        <v>25</v>
      </c>
      <c r="C71" s="159"/>
    </row>
    <row r="72" spans="1:7" x14ac:dyDescent="0.25">
      <c r="A72" s="156" t="s">
        <v>88</v>
      </c>
      <c r="B72">
        <f>MAX(B70:B71)</f>
        <v>25</v>
      </c>
      <c r="C72" s="157"/>
    </row>
    <row r="73" spans="1:7" x14ac:dyDescent="0.25">
      <c r="A73" s="156"/>
      <c r="C73" s="157"/>
    </row>
    <row r="74" spans="1:7" x14ac:dyDescent="0.25">
      <c r="A74" s="154" t="s">
        <v>92</v>
      </c>
      <c r="B74" s="150"/>
      <c r="C74" s="155"/>
    </row>
    <row r="75" spans="1:7" x14ac:dyDescent="0.25">
      <c r="A75" s="156" t="s">
        <v>93</v>
      </c>
      <c r="B75" t="str">
        <f>MID(T45,1,2)</f>
        <v/>
      </c>
      <c r="C75" s="157"/>
    </row>
    <row r="76" spans="1:7" x14ac:dyDescent="0.25">
      <c r="A76" s="158" t="s">
        <v>94</v>
      </c>
      <c r="B76" s="149" t="str">
        <f>MID(U45,1,2)</f>
        <v/>
      </c>
      <c r="C76" s="159"/>
    </row>
    <row r="77" spans="1:7" ht="15.75" thickBot="1" x14ac:dyDescent="0.3">
      <c r="A77" s="160" t="s">
        <v>95</v>
      </c>
      <c r="B77" s="161" t="b">
        <f>AND((B75=B76),B75&lt;&gt;"",B75&lt;&gt;"-",B76&lt;&gt;"",B76&lt;&gt;"-")</f>
        <v>0</v>
      </c>
      <c r="C77" s="162"/>
    </row>
  </sheetData>
  <sheetProtection selectLockedCells="1" selectUnlockedCells="1"/>
  <mergeCells count="13">
    <mergeCell ref="N4:P4"/>
    <mergeCell ref="N48:P48"/>
    <mergeCell ref="E36:E38"/>
    <mergeCell ref="E39:E41"/>
    <mergeCell ref="E42:E44"/>
    <mergeCell ref="H48:J48"/>
    <mergeCell ref="K48:M48"/>
    <mergeCell ref="E24:E26"/>
    <mergeCell ref="H4:J4"/>
    <mergeCell ref="K4:M4"/>
    <mergeCell ref="E6:E8"/>
    <mergeCell ref="E9:E11"/>
    <mergeCell ref="E12:E13"/>
  </mergeCells>
  <phoneticPr fontId="14" type="noConversion"/>
  <dataValidations disablePrompts="1" count="1">
    <dataValidation allowBlank="1" showInputMessage="1" sqref="F66" xr:uid="{DDBD4BB9-F2C0-4142-8875-4C2468CB83F9}"/>
  </dataValidation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FC1-DBDE-4CBB-8F6F-CB5E7982E388}">
  <sheetPr codeName="Hoja5">
    <tabColor theme="9"/>
  </sheetPr>
  <dimension ref="A3:W110"/>
  <sheetViews>
    <sheetView zoomScale="70" zoomScaleNormal="70" workbookViewId="0">
      <selection activeCell="C110" sqref="C110"/>
    </sheetView>
  </sheetViews>
  <sheetFormatPr baseColWidth="10" defaultColWidth="11.42578125" defaultRowHeight="15" x14ac:dyDescent="0.25"/>
  <cols>
    <col min="1" max="1" width="12.85546875" customWidth="1"/>
    <col min="2" max="2" width="14" bestFit="1" customWidth="1"/>
    <col min="3" max="3" width="13.5703125" bestFit="1" customWidth="1"/>
    <col min="5" max="5" width="11.42578125" style="12"/>
    <col min="6" max="6" width="89.140625" style="9" customWidth="1"/>
    <col min="7" max="7" width="9.85546875" style="12" customWidth="1"/>
    <col min="8" max="8" width="16.140625" bestFit="1" customWidth="1"/>
    <col min="9" max="9" width="16.85546875" customWidth="1"/>
    <col min="10" max="10" width="14" bestFit="1" customWidth="1"/>
    <col min="11" max="11" width="14" customWidth="1"/>
    <col min="12" max="12" width="17" customWidth="1"/>
    <col min="13" max="14" width="14" customWidth="1"/>
    <col min="15" max="15" width="17.85546875" customWidth="1"/>
    <col min="16" max="16" width="14" customWidth="1"/>
    <col min="17" max="18" width="11.42578125" style="12"/>
    <col min="19" max="19" width="10.85546875" style="12" customWidth="1"/>
    <col min="20" max="21" width="11.42578125" style="12"/>
    <col min="22" max="22" width="11.42578125" style="4"/>
  </cols>
  <sheetData>
    <row r="3" spans="1:23" ht="15.75" thickBot="1" x14ac:dyDescent="0.3"/>
    <row r="4" spans="1:23" ht="20.100000000000001" customHeight="1" thickTop="1" thickBot="1" x14ac:dyDescent="0.3">
      <c r="B4" s="20" t="s">
        <v>2</v>
      </c>
      <c r="C4" s="181"/>
      <c r="H4" s="325" t="s">
        <v>0</v>
      </c>
      <c r="I4" s="326"/>
      <c r="J4" s="327"/>
      <c r="K4" s="325" t="s">
        <v>4</v>
      </c>
      <c r="L4" s="326"/>
      <c r="M4" s="327"/>
      <c r="N4" s="325" t="s">
        <v>5</v>
      </c>
      <c r="O4" s="326"/>
      <c r="P4" s="327"/>
    </row>
    <row r="5" spans="1:23" ht="20.100000000000001" customHeight="1" thickBot="1" x14ac:dyDescent="0.3">
      <c r="A5" s="197" t="s">
        <v>129</v>
      </c>
      <c r="B5" s="15" t="s">
        <v>23</v>
      </c>
      <c r="C5" s="53"/>
      <c r="H5" s="182" t="s">
        <v>57</v>
      </c>
      <c r="I5" s="183" t="s">
        <v>58</v>
      </c>
      <c r="J5" s="184" t="s">
        <v>62</v>
      </c>
      <c r="K5" s="182" t="s">
        <v>57</v>
      </c>
      <c r="L5" s="183" t="s">
        <v>58</v>
      </c>
      <c r="M5" s="184" t="s">
        <v>62</v>
      </c>
      <c r="N5" s="182" t="s">
        <v>57</v>
      </c>
      <c r="O5" s="183" t="s">
        <v>58</v>
      </c>
      <c r="P5" s="184" t="s">
        <v>62</v>
      </c>
      <c r="T5" s="208">
        <v>1</v>
      </c>
      <c r="U5" s="208">
        <v>1</v>
      </c>
      <c r="V5" s="208">
        <v>1</v>
      </c>
    </row>
    <row r="6" spans="1:23" ht="20.100000000000001" customHeight="1" thickTop="1" thickBot="1" x14ac:dyDescent="0.3">
      <c r="A6" s="20" t="s">
        <v>2</v>
      </c>
      <c r="B6" s="15" t="s">
        <v>24</v>
      </c>
      <c r="C6" s="53"/>
      <c r="E6" s="334" t="s">
        <v>23</v>
      </c>
      <c r="F6" s="198" t="s">
        <v>50</v>
      </c>
      <c r="G6" s="217" t="s">
        <v>6</v>
      </c>
      <c r="H6" s="49">
        <v>0.65</v>
      </c>
      <c r="I6" s="50">
        <v>200</v>
      </c>
      <c r="J6" s="51">
        <v>20</v>
      </c>
      <c r="K6" s="49">
        <v>0.65</v>
      </c>
      <c r="L6" s="50">
        <v>250</v>
      </c>
      <c r="M6" s="51">
        <v>25</v>
      </c>
      <c r="N6" s="49">
        <v>0.6</v>
      </c>
      <c r="O6" s="50">
        <v>275</v>
      </c>
      <c r="P6" s="51">
        <v>25</v>
      </c>
      <c r="Q6" s="194" t="str">
        <f>IFERROR(VLOOKUP('CONVERSOR CodE a EHE-08'!C9,'CÁLCULO TRADUCTOR CodE-EHE'!F$6:G$8,2,FALSE),"")</f>
        <v/>
      </c>
      <c r="R6" s="194" t="str">
        <f>IFERROR(VLOOKUP('CONVERSOR CodE a EHE-08'!C14,'CÁLCULO TRADUCTOR CodE-EHE'!F$6:G$8,2,FALSE),"")</f>
        <v/>
      </c>
      <c r="S6" s="203" t="str">
        <f>IFERROR(VLOOKUP('CONVERSOR CodE a EHE-08'!C19,'CÁLCULO TRADUCTOR CodE-EHE'!F$6:G$8,2,FALSE),"")</f>
        <v/>
      </c>
      <c r="T6" s="209" t="str">
        <f>IF(Q6="","",IF(T$5=1,Q6,IF(T$5=2,Q7,IF(T$5=3,Q8,""))))</f>
        <v/>
      </c>
      <c r="U6" s="209" t="str">
        <f>IF(R6="","",IF(U$5=1,R6,IF(U$5=2,R7,IF(U$5=3,R8,""))))</f>
        <v/>
      </c>
      <c r="V6" s="209" t="str">
        <f>IF(S6="","",IF(V$5=1,S6,IF(V$5=2,S7,IF(V$5=3,S8,""))))</f>
        <v/>
      </c>
      <c r="W6" s="9"/>
    </row>
    <row r="7" spans="1:23" ht="20.100000000000001" customHeight="1" thickTop="1" x14ac:dyDescent="0.25">
      <c r="A7" s="32">
        <v>20</v>
      </c>
      <c r="B7" s="15" t="s">
        <v>25</v>
      </c>
      <c r="C7" s="53"/>
      <c r="E7" s="335"/>
      <c r="F7" s="199" t="s">
        <v>78</v>
      </c>
      <c r="G7" s="218" t="s">
        <v>6</v>
      </c>
      <c r="H7" s="35">
        <v>0.65</v>
      </c>
      <c r="I7" s="36">
        <v>200</v>
      </c>
      <c r="J7" s="37">
        <v>20</v>
      </c>
      <c r="K7" s="35">
        <v>0.65</v>
      </c>
      <c r="L7" s="36">
        <v>250</v>
      </c>
      <c r="M7" s="37">
        <v>25</v>
      </c>
      <c r="N7" s="35">
        <v>0.6</v>
      </c>
      <c r="O7" s="36">
        <v>275</v>
      </c>
      <c r="P7" s="37">
        <v>25</v>
      </c>
      <c r="Q7" s="191" t="str">
        <f>IFERROR(VLOOKUP('CONVERSOR CodE a EHE-08'!C10,'CÁLCULO TRADUCTOR CodE-EHE'!F$6:G$8,2,FALSE),"")</f>
        <v/>
      </c>
      <c r="R7" s="191" t="str">
        <f>IFERROR(VLOOKUP('CONVERSOR CodE a EHE-08'!C15,'CÁLCULO TRADUCTOR CodE-EHE'!F$6:G$8,2,FALSE),"")</f>
        <v/>
      </c>
      <c r="S7" s="204" t="str">
        <f>IFERROR(VLOOKUP('CONVERSOR CodE a EHE-08'!C20,'CÁLCULO TRADUCTOR CodE-EHE'!F$6:G$8,2,FALSE),"")</f>
        <v/>
      </c>
      <c r="T7" s="211"/>
      <c r="U7" s="211"/>
      <c r="V7" s="211"/>
      <c r="W7" s="9"/>
    </row>
    <row r="8" spans="1:23" ht="20.100000000000001" customHeight="1" thickBot="1" x14ac:dyDescent="0.3">
      <c r="A8" s="41">
        <v>25</v>
      </c>
      <c r="B8" s="15" t="s">
        <v>27</v>
      </c>
      <c r="C8" s="53"/>
      <c r="E8" s="338"/>
      <c r="F8" s="200" t="s">
        <v>2</v>
      </c>
      <c r="G8" s="219" t="s">
        <v>2</v>
      </c>
      <c r="H8" s="58"/>
      <c r="I8" s="59"/>
      <c r="J8" s="60"/>
      <c r="K8" s="58"/>
      <c r="L8" s="59"/>
      <c r="M8" s="60"/>
      <c r="N8" s="58"/>
      <c r="O8" s="59"/>
      <c r="P8" s="60"/>
      <c r="Q8" s="196" t="str">
        <f>IFERROR(VLOOKUP('CONVERSOR CodE a EHE-08'!C11,'CÁLCULO TRADUCTOR CodE-EHE'!F$6:G$8,2,FALSE),"")</f>
        <v/>
      </c>
      <c r="R8" s="196" t="str">
        <f>IFERROR(VLOOKUP('CONVERSOR CodE a EHE-08'!C16,'CÁLCULO TRADUCTOR CodE-EHE'!F$6:G$8,2,FALSE),"")</f>
        <v/>
      </c>
      <c r="S8" s="205" t="str">
        <f>IFERROR(VLOOKUP('CONVERSOR CodE a EHE-08'!C21,'CÁLCULO TRADUCTOR CodE-EHE'!F$6:G$8,2,FALSE),"")</f>
        <v/>
      </c>
      <c r="T8" s="185"/>
      <c r="U8" s="185"/>
      <c r="V8" s="185"/>
      <c r="W8" s="9"/>
    </row>
    <row r="9" spans="1:23" ht="20.100000000000001" customHeight="1" thickTop="1" thickBot="1" x14ac:dyDescent="0.3">
      <c r="A9" s="41">
        <v>30</v>
      </c>
      <c r="B9" s="15" t="s">
        <v>28</v>
      </c>
      <c r="C9" s="53"/>
      <c r="E9" s="334" t="s">
        <v>24</v>
      </c>
      <c r="F9" s="198" t="s">
        <v>79</v>
      </c>
      <c r="G9" s="217" t="s">
        <v>6</v>
      </c>
      <c r="H9" s="49"/>
      <c r="I9" s="50"/>
      <c r="J9" s="51"/>
      <c r="K9" s="49">
        <v>0.6</v>
      </c>
      <c r="L9" s="50">
        <v>275</v>
      </c>
      <c r="M9" s="51">
        <v>25</v>
      </c>
      <c r="N9" s="49">
        <v>0.6</v>
      </c>
      <c r="O9" s="50">
        <v>300</v>
      </c>
      <c r="P9" s="51">
        <v>25</v>
      </c>
      <c r="Q9" s="194" t="str">
        <f>IFERROR(VLOOKUP('CONVERSOR CodE a EHE-08'!C$9,'CÁLCULO TRADUCTOR CodE-EHE'!F$9:G$11,2,FALSE),"")</f>
        <v/>
      </c>
      <c r="R9" s="194" t="str">
        <f>IFERROR(VLOOKUP('CONVERSOR CodE a EHE-08'!C14,'CÁLCULO TRADUCTOR CodE-EHE'!F$9:H$11,2,FALSE),"")</f>
        <v/>
      </c>
      <c r="S9" s="203" t="str">
        <f>IFERROR(VLOOKUP('CONVERSOR CodE a EHE-08'!C19,'CÁLCULO TRADUCTOR CodE-EHE'!F$9:G$11,2,FALSE),"")</f>
        <v/>
      </c>
      <c r="T9" s="209" t="str">
        <f>IF(Q9="","",IF(T$5=1,Q9,IF(T$5=2,Q10,IF(T$5=3,Q11,""))))</f>
        <v/>
      </c>
      <c r="U9" s="209" t="str">
        <f t="shared" ref="U9:V9" si="0">IF(R9="","",IF(U$5=1,R9,IF(U$5=2,R10,IF(U$5=3,R11,""))))</f>
        <v/>
      </c>
      <c r="V9" s="209" t="str">
        <f t="shared" si="0"/>
        <v/>
      </c>
      <c r="W9" s="9"/>
    </row>
    <row r="10" spans="1:23" ht="20.100000000000001" customHeight="1" thickTop="1" x14ac:dyDescent="0.25">
      <c r="A10" s="41">
        <v>35</v>
      </c>
      <c r="B10" s="15" t="s">
        <v>34</v>
      </c>
      <c r="C10" s="53"/>
      <c r="D10" s="9"/>
      <c r="E10" s="335"/>
      <c r="F10" s="199" t="s">
        <v>80</v>
      </c>
      <c r="G10" s="218" t="s">
        <v>7</v>
      </c>
      <c r="H10" s="35"/>
      <c r="I10" s="36"/>
      <c r="J10" s="37"/>
      <c r="K10" s="35">
        <v>0.6</v>
      </c>
      <c r="L10" s="36">
        <v>275</v>
      </c>
      <c r="M10" s="37">
        <v>25</v>
      </c>
      <c r="N10" s="35">
        <v>0.6</v>
      </c>
      <c r="O10" s="36">
        <v>300</v>
      </c>
      <c r="P10" s="37">
        <v>25</v>
      </c>
      <c r="Q10" s="191" t="str">
        <f>IFERROR(VLOOKUP('CONVERSOR CodE a EHE-08'!C10,'CÁLCULO TRADUCTOR CodE-EHE'!F$9:G$11,2,FALSE),"")</f>
        <v/>
      </c>
      <c r="R10" s="191" t="str">
        <f>IFERROR(VLOOKUP('CONVERSOR CodE a EHE-08'!C15,'CÁLCULO TRADUCTOR CodE-EHE'!F$9:H$11,2,FALSE),"")</f>
        <v/>
      </c>
      <c r="S10" s="204" t="str">
        <f>IFERROR(VLOOKUP('CONVERSOR CodE a EHE-08'!C20,'CÁLCULO TRADUCTOR CodE-EHE'!F$9:G$11,2,FALSE),"")</f>
        <v/>
      </c>
      <c r="T10" s="185"/>
      <c r="U10" s="185"/>
      <c r="V10" s="185"/>
      <c r="W10" s="9"/>
    </row>
    <row r="11" spans="1:23" ht="20.100000000000001" customHeight="1" thickBot="1" x14ac:dyDescent="0.3">
      <c r="A11" s="41">
        <v>40</v>
      </c>
      <c r="B11" s="15" t="s">
        <v>36</v>
      </c>
      <c r="C11" s="53"/>
      <c r="D11" s="9"/>
      <c r="E11" s="336"/>
      <c r="F11" s="201" t="s">
        <v>2</v>
      </c>
      <c r="G11" s="220" t="s">
        <v>2</v>
      </c>
      <c r="H11" s="44"/>
      <c r="I11" s="45"/>
      <c r="J11" s="46"/>
      <c r="K11" s="44"/>
      <c r="L11" s="45"/>
      <c r="M11" s="46"/>
      <c r="N11" s="44"/>
      <c r="O11" s="45"/>
      <c r="P11" s="46"/>
      <c r="Q11" s="195" t="str">
        <f>IFERROR(VLOOKUP('CONVERSOR CodE a EHE-08'!C11,'CÁLCULO TRADUCTOR CodE-EHE'!F$9:G$11,2,FALSE),"")</f>
        <v/>
      </c>
      <c r="R11" s="195" t="str">
        <f>IFERROR(VLOOKUP('CONVERSOR CodE a EHE-08'!C16,'CÁLCULO TRADUCTOR CodE-EHE'!F$9:H$11,2,FALSE),"")</f>
        <v/>
      </c>
      <c r="S11" s="206" t="str">
        <f>IFERROR(VLOOKUP('CONVERSOR CodE a EHE-08'!C21,'CÁLCULO TRADUCTOR CodE-EHE'!F$9:G$11,2,FALSE),"")</f>
        <v/>
      </c>
      <c r="T11" s="185"/>
      <c r="U11" s="185"/>
      <c r="V11" s="185"/>
      <c r="W11" s="9"/>
    </row>
    <row r="12" spans="1:23" ht="20.100000000000001" customHeight="1" thickTop="1" thickBot="1" x14ac:dyDescent="0.3">
      <c r="A12" s="41">
        <v>45</v>
      </c>
      <c r="B12" s="15" t="s">
        <v>38</v>
      </c>
      <c r="C12" s="53"/>
      <c r="D12" s="9"/>
      <c r="E12" s="337" t="s">
        <v>25</v>
      </c>
      <c r="F12" s="202" t="s">
        <v>81</v>
      </c>
      <c r="G12" s="221" t="s">
        <v>7</v>
      </c>
      <c r="H12" s="23"/>
      <c r="I12" s="24"/>
      <c r="J12" s="25"/>
      <c r="K12" s="23">
        <v>0.6</v>
      </c>
      <c r="L12" s="24">
        <v>275</v>
      </c>
      <c r="M12" s="25">
        <v>25</v>
      </c>
      <c r="N12" s="23">
        <v>0.6</v>
      </c>
      <c r="O12" s="24">
        <v>300</v>
      </c>
      <c r="P12" s="25">
        <v>25</v>
      </c>
      <c r="Q12" s="193" t="str">
        <f>IFERROR(VLOOKUP('CONVERSOR CodE a EHE-08'!C9,'CÁLCULO TRADUCTOR CodE-EHE'!F$12:G$14,2,FALSE),"")</f>
        <v/>
      </c>
      <c r="R12" s="193" t="str">
        <f>IFERROR(VLOOKUP('CONVERSOR CodE a EHE-08'!C14,'CÁLCULO TRADUCTOR CodE-EHE'!F$12:H$14,2,FALSE),"")</f>
        <v/>
      </c>
      <c r="S12" s="207" t="str">
        <f>IFERROR(VLOOKUP('CONVERSOR CodE a EHE-08'!C19,'CÁLCULO TRADUCTOR CodE-EHE'!F$12:G$14,2,FALSE),"")</f>
        <v/>
      </c>
      <c r="T12" s="209" t="str">
        <f>IF(Q12="","",IF(T$5=1,Q12,IF(T$5=2,Q13,IF(T$5=3,Q14,""))))</f>
        <v/>
      </c>
      <c r="U12" s="209" t="str">
        <f t="shared" ref="U12:V12" si="1">IF(R12="","",IF(U$5=1,R12,IF(U$5=2,R13,IF(U$5=3,R14,""))))</f>
        <v/>
      </c>
      <c r="V12" s="209" t="str">
        <f t="shared" si="1"/>
        <v/>
      </c>
      <c r="W12" s="9"/>
    </row>
    <row r="13" spans="1:23" ht="20.100000000000001" customHeight="1" thickTop="1" x14ac:dyDescent="0.25">
      <c r="A13" s="41">
        <v>50</v>
      </c>
      <c r="B13" s="15" t="s">
        <v>30</v>
      </c>
      <c r="C13" s="53"/>
      <c r="E13" s="335"/>
      <c r="F13" s="199" t="s">
        <v>2</v>
      </c>
      <c r="G13" s="218" t="s">
        <v>2</v>
      </c>
      <c r="H13" s="35"/>
      <c r="I13" s="36"/>
      <c r="J13" s="37"/>
      <c r="K13" s="35"/>
      <c r="L13" s="36"/>
      <c r="M13" s="37"/>
      <c r="N13" s="35"/>
      <c r="O13" s="36"/>
      <c r="P13" s="37"/>
      <c r="Q13" s="191" t="str">
        <f>IFERROR(VLOOKUP('CONVERSOR CodE a EHE-08'!C10,'CÁLCULO TRADUCTOR CodE-EHE'!F$12:G$14,2,FALSE),"")</f>
        <v/>
      </c>
      <c r="R13" s="191" t="str">
        <f>IFERROR(VLOOKUP('CONVERSOR CodE a EHE-08'!C15,'CÁLCULO TRADUCTOR CodE-EHE'!F$12:H$14,2,FALSE),"")</f>
        <v/>
      </c>
      <c r="S13" s="204" t="str">
        <f>IFERROR(VLOOKUP('CONVERSOR CodE a EHE-08'!C20,'CÁLCULO TRADUCTOR CodE-EHE'!F$12:G$14,2,FALSE),"")</f>
        <v/>
      </c>
      <c r="T13" s="185"/>
      <c r="U13" s="185"/>
      <c r="V13" s="185"/>
      <c r="W13" s="9"/>
    </row>
    <row r="14" spans="1:23" ht="20.100000000000001" customHeight="1" thickBot="1" x14ac:dyDescent="0.3">
      <c r="A14" s="41">
        <v>55</v>
      </c>
      <c r="B14" s="15" t="s">
        <v>32</v>
      </c>
      <c r="C14" s="53"/>
      <c r="E14" s="336"/>
      <c r="F14" s="201" t="s">
        <v>2</v>
      </c>
      <c r="G14" s="220" t="s">
        <v>2</v>
      </c>
      <c r="H14" s="44"/>
      <c r="I14" s="45"/>
      <c r="J14" s="46"/>
      <c r="K14" s="44"/>
      <c r="L14" s="45"/>
      <c r="M14" s="46"/>
      <c r="N14" s="44"/>
      <c r="O14" s="45"/>
      <c r="P14" s="46"/>
      <c r="Q14" s="195" t="str">
        <f>IFERROR(VLOOKUP('CONVERSOR CodE a EHE-08'!C11,'CÁLCULO TRADUCTOR CodE-EHE'!F$12:G$14,2,FALSE),"")</f>
        <v/>
      </c>
      <c r="R14" s="195" t="str">
        <f>IFERROR(VLOOKUP('CONVERSOR CodE a EHE-08'!C16,'CÁLCULO TRADUCTOR CodE-EHE'!F$12:H$14,2,FALSE),"")</f>
        <v/>
      </c>
      <c r="S14" s="206" t="str">
        <f>IFERROR(VLOOKUP('CONVERSOR CodE a EHE-08'!C21,'CÁLCULO TRADUCTOR CodE-EHE'!F$12:G$14,2,FALSE),"")</f>
        <v/>
      </c>
      <c r="T14" s="185"/>
      <c r="U14" s="185"/>
      <c r="V14" s="185"/>
      <c r="W14" s="9"/>
    </row>
    <row r="15" spans="1:23" ht="20.100000000000001" customHeight="1" thickTop="1" thickBot="1" x14ac:dyDescent="0.3">
      <c r="A15" s="41">
        <v>60</v>
      </c>
      <c r="B15" s="15" t="s">
        <v>33</v>
      </c>
      <c r="C15" s="53"/>
      <c r="E15" s="334" t="s">
        <v>27</v>
      </c>
      <c r="F15" s="198" t="s">
        <v>82</v>
      </c>
      <c r="G15" s="217" t="s">
        <v>7</v>
      </c>
      <c r="H15" s="49"/>
      <c r="I15" s="50"/>
      <c r="J15" s="51"/>
      <c r="K15" s="49">
        <v>0.55000000000000004</v>
      </c>
      <c r="L15" s="50">
        <v>300</v>
      </c>
      <c r="M15" s="51">
        <v>30</v>
      </c>
      <c r="N15" s="49">
        <v>0.55000000000000004</v>
      </c>
      <c r="O15" s="50">
        <v>300</v>
      </c>
      <c r="P15" s="51">
        <v>30</v>
      </c>
      <c r="Q15" s="194" t="str">
        <f>IFERROR(VLOOKUP('CONVERSOR CodE a EHE-08'!C9,'CÁLCULO TRADUCTOR CodE-EHE'!F$15:G$17,2,FALSE),"")</f>
        <v/>
      </c>
      <c r="R15" s="194" t="str">
        <f>IFERROR(VLOOKUP('CONVERSOR CodE a EHE-08'!C14,'CÁLCULO TRADUCTOR CodE-EHE'!F$15:G$17,2,FALSE),"")</f>
        <v/>
      </c>
      <c r="S15" s="203" t="str">
        <f>IFERROR(VLOOKUP('CONVERSOR CodE a EHE-08'!C19,'CÁLCULO TRADUCTOR CodE-EHE'!F$15:G$17,2,FALSE),"")</f>
        <v/>
      </c>
      <c r="T15" s="209" t="str">
        <f>IF(Q15="","",IF(T$5=1,Q15,IF(T$5=2,Q16,IF(T$5=3,Q17,""))))</f>
        <v/>
      </c>
      <c r="U15" s="209" t="str">
        <f t="shared" ref="U15:V15" si="2">IF(R15="","",IF(U$5=1,R15,IF(U$5=2,R16,IF(U$5=3,R17,""))))</f>
        <v/>
      </c>
      <c r="V15" s="209" t="str">
        <f t="shared" si="2"/>
        <v/>
      </c>
      <c r="W15" s="9"/>
    </row>
    <row r="16" spans="1:23" ht="20.100000000000001" customHeight="1" thickTop="1" x14ac:dyDescent="0.25">
      <c r="A16" s="41">
        <v>70</v>
      </c>
      <c r="B16" s="53" t="s">
        <v>44</v>
      </c>
      <c r="C16" s="53"/>
      <c r="E16" s="335"/>
      <c r="F16" s="199" t="s">
        <v>83</v>
      </c>
      <c r="G16" s="218" t="s">
        <v>8</v>
      </c>
      <c r="H16" s="35"/>
      <c r="I16" s="36"/>
      <c r="J16" s="37"/>
      <c r="K16" s="35">
        <v>0.55000000000000004</v>
      </c>
      <c r="L16" s="36">
        <v>300</v>
      </c>
      <c r="M16" s="37">
        <v>30</v>
      </c>
      <c r="N16" s="35">
        <v>0.55000000000000004</v>
      </c>
      <c r="O16" s="36">
        <v>300</v>
      </c>
      <c r="P16" s="37">
        <v>30</v>
      </c>
      <c r="Q16" s="191" t="str">
        <f>IFERROR(VLOOKUP('CONVERSOR CodE a EHE-08'!C10,'CÁLCULO TRADUCTOR CodE-EHE'!F$15:G$17,2,FALSE),"")</f>
        <v/>
      </c>
      <c r="R16" s="191" t="str">
        <f>IFERROR(VLOOKUP('CONVERSOR CodE a EHE-08'!C15,'CÁLCULO TRADUCTOR CodE-EHE'!F$15:G$17,2,FALSE),"")</f>
        <v/>
      </c>
      <c r="S16" s="204" t="str">
        <f>IFERROR(VLOOKUP('CONVERSOR CodE a EHE-08'!C20,'CÁLCULO TRADUCTOR CodE-EHE'!F$15:G$17,2,FALSE),"")</f>
        <v/>
      </c>
      <c r="T16" s="185" t="str">
        <f>IF(Q21="","",IF(T$5=1,Q21,IF(T$5=2,#REF!,IF(T$5=3,#REF!,""))))</f>
        <v/>
      </c>
      <c r="U16" s="185"/>
      <c r="V16" s="185"/>
      <c r="W16" s="9"/>
    </row>
    <row r="17" spans="1:23" ht="20.100000000000001" customHeight="1" thickBot="1" x14ac:dyDescent="0.3">
      <c r="A17" s="41">
        <v>80</v>
      </c>
      <c r="B17" s="53" t="s">
        <v>45</v>
      </c>
      <c r="C17" s="53"/>
      <c r="E17" s="336"/>
      <c r="F17" s="201" t="s">
        <v>2</v>
      </c>
      <c r="G17" s="220" t="s">
        <v>2</v>
      </c>
      <c r="H17" s="44"/>
      <c r="I17" s="45"/>
      <c r="J17" s="46"/>
      <c r="K17" s="44"/>
      <c r="L17" s="45"/>
      <c r="M17" s="46"/>
      <c r="N17" s="44"/>
      <c r="O17" s="45"/>
      <c r="P17" s="46"/>
      <c r="Q17" s="195" t="str">
        <f>IFERROR(VLOOKUP('CONVERSOR CodE a EHE-08'!C11,'CÁLCULO TRADUCTOR CodE-EHE'!F$15:G$17,2,FALSE),"")</f>
        <v/>
      </c>
      <c r="R17" s="195" t="str">
        <f>IFERROR(VLOOKUP('CONVERSOR CodE a EHE-08'!C16,'CÁLCULO TRADUCTOR CodE-EHE'!F$15:G$17,2,FALSE),"")</f>
        <v/>
      </c>
      <c r="S17" s="206" t="str">
        <f>IFERROR(VLOOKUP('CONVERSOR CodE a EHE-08'!C21,'CÁLCULO TRADUCTOR CodE-EHE'!F$15:G$17,2,FALSE),"")</f>
        <v/>
      </c>
      <c r="T17" s="185" t="str">
        <f>IF(Q24="","",IF(T$5=1,Q24,IF(T$5=2,#REF!,IF(T$5=3,#REF!,""))))</f>
        <v/>
      </c>
      <c r="U17" s="185"/>
      <c r="V17" s="185"/>
      <c r="W17" s="9"/>
    </row>
    <row r="18" spans="1:23" ht="20.100000000000001" customHeight="1" thickTop="1" thickBot="1" x14ac:dyDescent="0.3">
      <c r="A18" s="41">
        <v>90</v>
      </c>
      <c r="B18" s="53" t="s">
        <v>46</v>
      </c>
      <c r="C18" s="53"/>
      <c r="E18" s="334" t="s">
        <v>28</v>
      </c>
      <c r="F18" s="198" t="s">
        <v>84</v>
      </c>
      <c r="G18" s="217" t="s">
        <v>8</v>
      </c>
      <c r="H18" s="49"/>
      <c r="I18" s="50"/>
      <c r="J18" s="51"/>
      <c r="K18" s="49">
        <v>0.55000000000000004</v>
      </c>
      <c r="L18" s="50">
        <v>300</v>
      </c>
      <c r="M18" s="51">
        <v>30</v>
      </c>
      <c r="N18" s="49">
        <v>0.55000000000000004</v>
      </c>
      <c r="O18" s="50">
        <v>300</v>
      </c>
      <c r="P18" s="51">
        <v>30</v>
      </c>
      <c r="Q18" s="194" t="str">
        <f>IFERROR(VLOOKUP('CONVERSOR CodE a EHE-08'!C9,'CÁLCULO TRADUCTOR CodE-EHE'!F$18:G$20,2,FALSE),"")</f>
        <v/>
      </c>
      <c r="R18" s="194" t="str">
        <f>IFERROR(VLOOKUP('CONVERSOR CodE a EHE-08'!C14,'CÁLCULO TRADUCTOR CodE-EHE'!F$18:G$20,2,FALSE),"")</f>
        <v/>
      </c>
      <c r="S18" s="203" t="str">
        <f>IFERROR(VLOOKUP('CONVERSOR CodE a EHE-08'!C19,'CÁLCULO TRADUCTOR CodE-EHE'!F$18:G$20,2,FALSE),"")</f>
        <v/>
      </c>
      <c r="T18" s="209" t="str">
        <f>IF(Q18="","",IF(T$5=1,Q18,IF(T$5=2,Q19,IF(T$5=3,Q20,""))))</f>
        <v/>
      </c>
      <c r="U18" s="209" t="str">
        <f t="shared" ref="U18:V18" si="3">IF(R18="","",IF(U$5=1,R18,IF(U$5=2,R19,IF(U$5=3,R20,""))))</f>
        <v/>
      </c>
      <c r="V18" s="209" t="str">
        <f t="shared" si="3"/>
        <v/>
      </c>
      <c r="W18" s="9"/>
    </row>
    <row r="19" spans="1:23" ht="20.100000000000001" customHeight="1" thickTop="1" x14ac:dyDescent="0.25">
      <c r="A19" s="72">
        <v>100</v>
      </c>
      <c r="B19" s="53" t="s">
        <v>40</v>
      </c>
      <c r="C19" s="53"/>
      <c r="E19" s="335"/>
      <c r="F19" s="199" t="s">
        <v>2</v>
      </c>
      <c r="G19" s="218" t="s">
        <v>2</v>
      </c>
      <c r="H19" s="35"/>
      <c r="I19" s="36"/>
      <c r="J19" s="37"/>
      <c r="K19" s="35"/>
      <c r="L19" s="36"/>
      <c r="M19" s="37"/>
      <c r="N19" s="35"/>
      <c r="O19" s="36"/>
      <c r="P19" s="37"/>
      <c r="Q19" s="191" t="str">
        <f>IFERROR(VLOOKUP('CONVERSOR CodE a EHE-08'!C10,'CÁLCULO TRADUCTOR CodE-EHE'!F$18:G$20,2,FALSE),"")</f>
        <v/>
      </c>
      <c r="R19" s="191" t="str">
        <f>IFERROR(VLOOKUP('CONVERSOR CodE a EHE-08'!C15,'CÁLCULO TRADUCTOR CodE-EHE'!F$18:G$20,2,FALSE),"")</f>
        <v/>
      </c>
      <c r="S19" s="204" t="str">
        <f>IFERROR(VLOOKUP('CONVERSOR CodE a EHE-08'!C20,'CÁLCULO TRADUCTOR CodE-EHE'!F$18:G$20,2,FALSE),"")</f>
        <v/>
      </c>
      <c r="T19" s="185"/>
      <c r="U19" s="185"/>
      <c r="V19" s="185"/>
      <c r="W19" s="9"/>
    </row>
    <row r="20" spans="1:23" ht="20.100000000000001" customHeight="1" thickBot="1" x14ac:dyDescent="0.3">
      <c r="A20" s="74"/>
      <c r="B20" s="53" t="s">
        <v>41</v>
      </c>
      <c r="C20" s="53"/>
      <c r="E20" s="336"/>
      <c r="F20" s="201" t="s">
        <v>2</v>
      </c>
      <c r="G20" s="220" t="s">
        <v>2</v>
      </c>
      <c r="H20" s="44"/>
      <c r="I20" s="45"/>
      <c r="J20" s="46"/>
      <c r="K20" s="44"/>
      <c r="L20" s="45"/>
      <c r="M20" s="46"/>
      <c r="N20" s="44"/>
      <c r="O20" s="45"/>
      <c r="P20" s="46"/>
      <c r="Q20" s="195" t="str">
        <f>IFERROR(VLOOKUP('CONVERSOR CodE a EHE-08'!C11,'CÁLCULO TRADUCTOR CodE-EHE'!F$18:G$20,2,FALSE),"")</f>
        <v/>
      </c>
      <c r="R20" s="195" t="str">
        <f>IFERROR(VLOOKUP('CONVERSOR CodE a EHE-08'!C16,'CÁLCULO TRADUCTOR CodE-EHE'!F$18:G$20,2,FALSE),"")</f>
        <v/>
      </c>
      <c r="S20" s="206" t="str">
        <f>IFERROR(VLOOKUP('CONVERSOR CodE a EHE-08'!C21,'CÁLCULO TRADUCTOR CodE-EHE'!F$18:G$20,2,FALSE),"")</f>
        <v/>
      </c>
      <c r="T20" s="185"/>
      <c r="U20" s="185"/>
      <c r="V20" s="185"/>
      <c r="W20" s="9"/>
    </row>
    <row r="21" spans="1:23" ht="20.100000000000001" customHeight="1" thickTop="1" thickBot="1" x14ac:dyDescent="0.3">
      <c r="A21" s="73" t="str">
        <f>"-"</f>
        <v>-</v>
      </c>
      <c r="B21" s="53" t="s">
        <v>42</v>
      </c>
      <c r="C21" s="53"/>
      <c r="E21" s="334" t="s">
        <v>34</v>
      </c>
      <c r="F21" s="198" t="s">
        <v>35</v>
      </c>
      <c r="G21" s="217" t="s">
        <v>9</v>
      </c>
      <c r="H21" s="49"/>
      <c r="I21" s="50"/>
      <c r="J21" s="51"/>
      <c r="K21" s="49">
        <v>0.5</v>
      </c>
      <c r="L21" s="50">
        <v>300</v>
      </c>
      <c r="M21" s="51">
        <v>30</v>
      </c>
      <c r="N21" s="49">
        <v>0.5</v>
      </c>
      <c r="O21" s="50">
        <v>300</v>
      </c>
      <c r="P21" s="51">
        <v>30</v>
      </c>
      <c r="Q21" s="194" t="str">
        <f>IFERROR(VLOOKUP('CONVERSOR CodE a EHE-08'!C9,'CÁLCULO TRADUCTOR CodE-EHE'!F$21:G$23,2,FALSE),"")</f>
        <v/>
      </c>
      <c r="R21" s="194" t="str">
        <f>IFERROR(VLOOKUP('CONVERSOR CodE a EHE-08'!C14,'CÁLCULO TRADUCTOR CodE-EHE'!F$21:G$23,2,FALSE),"")</f>
        <v/>
      </c>
      <c r="S21" s="203" t="str">
        <f>IFERROR(VLOOKUP('CONVERSOR CodE a EHE-08'!C19,'CÁLCULO TRADUCTOR CodE-EHE'!F$21:G$23,2,FALSE),"")</f>
        <v/>
      </c>
      <c r="T21" s="209" t="str">
        <f>IF(Q21="","",IF(T$5=1,Q21,IF(T$5=2,Q22,IF(T$5=3,Q23,""))))</f>
        <v/>
      </c>
      <c r="U21" s="209" t="str">
        <f t="shared" ref="U21:V21" si="4">IF(R21="","",IF(U$5=1,R21,IF(U$5=2,R22,IF(U$5=3,R23,""))))</f>
        <v/>
      </c>
      <c r="V21" s="209" t="str">
        <f t="shared" si="4"/>
        <v/>
      </c>
      <c r="W21" s="9"/>
    </row>
    <row r="22" spans="1:23" ht="20.100000000000001" customHeight="1" thickTop="1" x14ac:dyDescent="0.25">
      <c r="A22" s="15" t="s">
        <v>0</v>
      </c>
      <c r="B22" s="73" t="s">
        <v>43</v>
      </c>
      <c r="C22" s="53"/>
      <c r="E22" s="335"/>
      <c r="F22" s="199" t="s">
        <v>2</v>
      </c>
      <c r="G22" s="218" t="s">
        <v>2</v>
      </c>
      <c r="H22" s="35"/>
      <c r="I22" s="36"/>
      <c r="J22" s="37"/>
      <c r="K22" s="35"/>
      <c r="L22" s="36"/>
      <c r="M22" s="37"/>
      <c r="N22" s="35"/>
      <c r="O22" s="36"/>
      <c r="P22" s="37"/>
      <c r="Q22" s="191" t="str">
        <f>IFERROR(VLOOKUP('CONVERSOR CodE a EHE-08'!C10,'CÁLCULO TRADUCTOR CodE-EHE'!F$21:G$23,2,FALSE),"")</f>
        <v/>
      </c>
      <c r="R22" s="191" t="str">
        <f>IFERROR(VLOOKUP('CONVERSOR CodE a EHE-08'!C15,'CÁLCULO TRADUCTOR CodE-EHE'!F$21:G$23,2,FALSE),"")</f>
        <v/>
      </c>
      <c r="S22" s="204" t="str">
        <f>IFERROR(VLOOKUP('CONVERSOR CodE a EHE-08'!C20,'CÁLCULO TRADUCTOR CodE-EHE'!F$21:G$23,2,FALSE),"")</f>
        <v/>
      </c>
      <c r="T22" s="185"/>
      <c r="U22" s="185" t="str">
        <f>IF(Q39="","",IF(U$5=1,Q39,IF(U$5=2,#REF!,IF(U$5=3,#REF!,""))))</f>
        <v/>
      </c>
      <c r="V22" s="185" t="str">
        <f>IF(S39="","",IF(V$5=1,S39,IF(V$5=2,#REF!,IF(V$5=3,#REF!,""))))</f>
        <v/>
      </c>
      <c r="W22" s="9"/>
    </row>
    <row r="23" spans="1:23" ht="20.100000000000001" customHeight="1" thickBot="1" x14ac:dyDescent="0.3">
      <c r="A23" s="15" t="s">
        <v>4</v>
      </c>
      <c r="B23" s="78" t="s">
        <v>47</v>
      </c>
      <c r="C23" s="53"/>
      <c r="E23" s="336"/>
      <c r="F23" s="201" t="s">
        <v>2</v>
      </c>
      <c r="G23" s="220" t="s">
        <v>2</v>
      </c>
      <c r="H23" s="44"/>
      <c r="I23" s="45"/>
      <c r="J23" s="46"/>
      <c r="K23" s="44"/>
      <c r="L23" s="45"/>
      <c r="M23" s="46"/>
      <c r="N23" s="44"/>
      <c r="O23" s="45"/>
      <c r="P23" s="46"/>
      <c r="Q23" s="195" t="str">
        <f>IFERROR(VLOOKUP('CONVERSOR CodE a EHE-08'!C11,'CÁLCULO TRADUCTOR CodE-EHE'!F$21:G$23,2,FALSE),"")</f>
        <v/>
      </c>
      <c r="R23" s="195" t="str">
        <f>IFERROR(VLOOKUP('CONVERSOR CodE a EHE-08'!C16,'CÁLCULO TRADUCTOR CodE-EHE'!F$21:G$23,2,FALSE),"")</f>
        <v/>
      </c>
      <c r="S23" s="206" t="str">
        <f>IFERROR(VLOOKUP('CONVERSOR CodE a EHE-08'!C21,'CÁLCULO TRADUCTOR CodE-EHE'!F$21:G$23,2,FALSE),"")</f>
        <v/>
      </c>
      <c r="T23" s="185"/>
      <c r="U23" s="185" t="str">
        <f>IF(Q42="","",IF(U$5=1,Q42,IF(U$5=2,#REF!,IF(U$5=3,#REF!,""))))</f>
        <v/>
      </c>
      <c r="V23" s="185" t="str">
        <f>IF(S42="","",IF(V$5=1,S42,IF(V$5=2,#REF!,IF(V$5=3,#REF!,""))))</f>
        <v/>
      </c>
      <c r="W23" s="9"/>
    </row>
    <row r="24" spans="1:23" ht="20.100000000000001" customHeight="1" thickTop="1" thickBot="1" x14ac:dyDescent="0.3">
      <c r="A24" s="76" t="s">
        <v>5</v>
      </c>
      <c r="B24" s="78" t="s">
        <v>48</v>
      </c>
      <c r="C24" s="53"/>
      <c r="E24" s="334" t="s">
        <v>36</v>
      </c>
      <c r="F24" s="198" t="s">
        <v>37</v>
      </c>
      <c r="G24" s="217" t="s">
        <v>10</v>
      </c>
      <c r="H24" s="49"/>
      <c r="I24" s="50"/>
      <c r="J24" s="51"/>
      <c r="K24" s="49">
        <v>0.5</v>
      </c>
      <c r="L24" s="50">
        <v>325</v>
      </c>
      <c r="M24" s="51">
        <v>30</v>
      </c>
      <c r="N24" s="49">
        <v>0.45</v>
      </c>
      <c r="O24" s="50">
        <v>325</v>
      </c>
      <c r="P24" s="51">
        <v>35</v>
      </c>
      <c r="Q24" s="194" t="str">
        <f>IFERROR(VLOOKUP('CONVERSOR CodE a EHE-08'!C9,'CÁLCULO TRADUCTOR CodE-EHE'!F$24:G$26,2,FALSE),"")</f>
        <v/>
      </c>
      <c r="R24" s="194" t="str">
        <f>IFERROR(VLOOKUP('CONVERSOR CodE a EHE-08'!C14,'CÁLCULO TRADUCTOR CodE-EHE'!F$24:G$26,2,FALSE),"")</f>
        <v/>
      </c>
      <c r="S24" s="203" t="str">
        <f>IFERROR(VLOOKUP('CONVERSOR CodE a EHE-08'!C19,'CÁLCULO TRADUCTOR CodE-EHE'!F$24:G$26,2,FALSE),"")</f>
        <v/>
      </c>
      <c r="T24" s="209" t="str">
        <f>IF(Q24="","",IF(T$5=1,Q24,IF(T$5=2,Q25,IF(T$5=3,Q26,""))))</f>
        <v/>
      </c>
      <c r="U24" s="209" t="str">
        <f t="shared" ref="U24:V24" si="5">IF(R24="","",IF(U$5=1,R24,IF(U$5=2,R25,IF(U$5=3,R26,""))))</f>
        <v/>
      </c>
      <c r="V24" s="209" t="str">
        <f t="shared" si="5"/>
        <v/>
      </c>
      <c r="W24" s="9"/>
    </row>
    <row r="25" spans="1:23" ht="20.100000000000001" customHeight="1" thickTop="1" x14ac:dyDescent="0.25">
      <c r="A25" s="77"/>
      <c r="B25" s="78" t="s">
        <v>49</v>
      </c>
      <c r="C25" s="53"/>
      <c r="E25" s="335"/>
      <c r="F25" s="199" t="s">
        <v>2</v>
      </c>
      <c r="G25" s="218" t="s">
        <v>2</v>
      </c>
      <c r="H25" s="35"/>
      <c r="I25" s="36"/>
      <c r="J25" s="37"/>
      <c r="K25" s="35"/>
      <c r="L25" s="36"/>
      <c r="M25" s="37"/>
      <c r="N25" s="35"/>
      <c r="O25" s="36"/>
      <c r="P25" s="37"/>
      <c r="Q25" s="191" t="str">
        <f>IFERROR(VLOOKUP('CONVERSOR CodE a EHE-08'!C10,'CÁLCULO TRADUCTOR CodE-EHE'!F$24:G$26,2,FALSE),"")</f>
        <v/>
      </c>
      <c r="R25" s="191" t="str">
        <f>IFERROR(VLOOKUP('CONVERSOR CodE a EHE-08'!C15,'CÁLCULO TRADUCTOR CodE-EHE'!F$24:G$26,2,FALSE),"")</f>
        <v/>
      </c>
      <c r="S25" s="204" t="str">
        <f>IFERROR(VLOOKUP('CONVERSOR CodE a EHE-08'!C20,'CÁLCULO TRADUCTOR CodE-EHE'!F$24:G$26,2,FALSE),"")</f>
        <v/>
      </c>
      <c r="T25" s="185"/>
      <c r="U25" s="185"/>
      <c r="V25" s="185"/>
      <c r="W25" s="9"/>
    </row>
    <row r="26" spans="1:23" ht="20.100000000000001" customHeight="1" thickBot="1" x14ac:dyDescent="0.3">
      <c r="A26" s="78" t="str">
        <f>"-"</f>
        <v>-</v>
      </c>
      <c r="B26" s="53"/>
      <c r="C26" s="53"/>
      <c r="E26" s="336"/>
      <c r="F26" s="201" t="s">
        <v>2</v>
      </c>
      <c r="G26" s="220" t="s">
        <v>2</v>
      </c>
      <c r="H26" s="44"/>
      <c r="I26" s="45"/>
      <c r="J26" s="46"/>
      <c r="K26" s="44"/>
      <c r="L26" s="45"/>
      <c r="M26" s="46"/>
      <c r="N26" s="44"/>
      <c r="O26" s="45"/>
      <c r="P26" s="46"/>
      <c r="Q26" s="195" t="str">
        <f>IFERROR(VLOOKUP('CONVERSOR CodE a EHE-08'!C11,'CÁLCULO TRADUCTOR CodE-EHE'!F$24:G$26,2,FALSE),"")</f>
        <v/>
      </c>
      <c r="R26" s="195" t="str">
        <f>IFERROR(VLOOKUP('CONVERSOR CodE a EHE-08'!C16,'CÁLCULO TRADUCTOR CodE-EHE'!F$24:G$26,2,FALSE),"")</f>
        <v/>
      </c>
      <c r="S26" s="206" t="str">
        <f>IFERROR(VLOOKUP('CONVERSOR CodE a EHE-08'!C21,'CÁLCULO TRADUCTOR CodE-EHE'!F$24:G$26,2,FALSE),"")</f>
        <v/>
      </c>
      <c r="T26" s="185"/>
      <c r="U26" s="185" t="str">
        <f>IF(Q51="","",IF(U$5=1,Q51,IF(U$5=2,Q54,IF(U$5=3,#REF!,""))))</f>
        <v/>
      </c>
      <c r="V26" s="185" t="str">
        <f>IF(S51="","",IF(V$5=1,S51,IF(V$5=2,S54,IF(V$5=3,#REF!,""))))</f>
        <v/>
      </c>
      <c r="W26" s="9"/>
    </row>
    <row r="27" spans="1:23" ht="20.100000000000001" customHeight="1" thickTop="1" thickBot="1" x14ac:dyDescent="0.3">
      <c r="A27" s="79">
        <v>10</v>
      </c>
      <c r="B27" s="75" t="s">
        <v>19</v>
      </c>
      <c r="C27" s="53"/>
      <c r="E27" s="334" t="s">
        <v>38</v>
      </c>
      <c r="F27" s="198" t="s">
        <v>39</v>
      </c>
      <c r="G27" s="217" t="s">
        <v>11</v>
      </c>
      <c r="H27" s="49"/>
      <c r="I27" s="50"/>
      <c r="J27" s="51"/>
      <c r="K27" s="49">
        <v>0.45</v>
      </c>
      <c r="L27" s="50">
        <v>350</v>
      </c>
      <c r="M27" s="51">
        <v>35</v>
      </c>
      <c r="N27" s="49">
        <v>0.45</v>
      </c>
      <c r="O27" s="50">
        <v>350</v>
      </c>
      <c r="P27" s="51">
        <v>35</v>
      </c>
      <c r="Q27" s="194" t="str">
        <f>IFERROR(VLOOKUP('CONVERSOR CodE a EHE-08'!C9,'CÁLCULO TRADUCTOR CodE-EHE'!F$27:G$29,2,FALSE),"")</f>
        <v/>
      </c>
      <c r="R27" s="194" t="str">
        <f>IFERROR(VLOOKUP('CONVERSOR CodE a EHE-08'!C14,'CÁLCULO TRADUCTOR CodE-EHE'!F$27:G$29,2,FALSE),"")</f>
        <v/>
      </c>
      <c r="S27" s="203" t="str">
        <f>IFERROR(VLOOKUP('CONVERSOR CodE a EHE-08'!C19,'CÁLCULO TRADUCTOR CodE-EHE'!F$27:G$29,2,FALSE),"")</f>
        <v/>
      </c>
      <c r="T27" s="209" t="str">
        <f>IF(Q27="","",IF(T$5=1,Q27,IF(T$5=2,Q28,IF(T$5=3,Q29,""))))</f>
        <v/>
      </c>
      <c r="U27" s="209" t="str">
        <f t="shared" ref="U27:V27" si="6">IF(R27="","",IF(U$5=1,R27,IF(U$5=2,R28,IF(U$5=3,R29,""))))</f>
        <v/>
      </c>
      <c r="V27" s="209" t="str">
        <f t="shared" si="6"/>
        <v/>
      </c>
      <c r="W27" s="9"/>
    </row>
    <row r="28" spans="1:23" ht="20.100000000000001" customHeight="1" thickTop="1" x14ac:dyDescent="0.25">
      <c r="A28" s="79">
        <v>12</v>
      </c>
      <c r="B28" s="75" t="s">
        <v>1</v>
      </c>
      <c r="C28" s="53"/>
      <c r="E28" s="335"/>
      <c r="F28" s="199" t="s">
        <v>2</v>
      </c>
      <c r="G28" s="218" t="s">
        <v>2</v>
      </c>
      <c r="H28" s="35"/>
      <c r="I28" s="36"/>
      <c r="J28" s="37"/>
      <c r="K28" s="35"/>
      <c r="L28" s="36"/>
      <c r="M28" s="37"/>
      <c r="N28" s="35"/>
      <c r="O28" s="36"/>
      <c r="P28" s="37"/>
      <c r="Q28" s="191" t="str">
        <f>IFERROR(VLOOKUP('CONVERSOR CodE a EHE-08'!C10,'CÁLCULO TRADUCTOR CodE-EHE'!F$27:G$29,2,FALSE),"")</f>
        <v/>
      </c>
      <c r="R28" s="191" t="str">
        <f>IFERROR(VLOOKUP('CONVERSOR CodE a EHE-08'!C15,'CÁLCULO TRADUCTOR CodE-EHE'!F$27:G$29,2,FALSE),"")</f>
        <v/>
      </c>
      <c r="S28" s="204" t="str">
        <f>IFERROR(VLOOKUP('CONVERSOR CodE a EHE-08'!C20,'CÁLCULO TRADUCTOR CodE-EHE'!F$27:G$29,2,FALSE),"")</f>
        <v/>
      </c>
      <c r="T28" s="185"/>
      <c r="U28" s="185" t="str">
        <f>IF(Q57="","",IF(U$5=1,Q57,IF(U$5=2,Q60,IF(U$5=3,Q63,""))))</f>
        <v/>
      </c>
      <c r="V28" s="185" t="str">
        <f>IF(S57="","",IF(V$5=1,S57,IF(V$5=2,S58,IF(V$5=3,S59,""))))</f>
        <v/>
      </c>
      <c r="W28" s="9"/>
    </row>
    <row r="29" spans="1:23" ht="20.100000000000001" customHeight="1" thickBot="1" x14ac:dyDescent="0.3">
      <c r="A29" s="79">
        <v>20</v>
      </c>
      <c r="B29" s="75" t="s">
        <v>20</v>
      </c>
      <c r="C29" s="53"/>
      <c r="E29" s="336"/>
      <c r="F29" s="201" t="s">
        <v>2</v>
      </c>
      <c r="G29" s="220" t="s">
        <v>2</v>
      </c>
      <c r="H29" s="44"/>
      <c r="I29" s="45"/>
      <c r="J29" s="46"/>
      <c r="K29" s="44"/>
      <c r="L29" s="45"/>
      <c r="M29" s="46"/>
      <c r="N29" s="44"/>
      <c r="O29" s="45"/>
      <c r="P29" s="46"/>
      <c r="Q29" s="195" t="str">
        <f>IFERROR(VLOOKUP('CONVERSOR CodE a EHE-08'!C11,'CÁLCULO TRADUCTOR CodE-EHE'!F$27:G$29,2,FALSE),"")</f>
        <v/>
      </c>
      <c r="R29" s="195" t="str">
        <f>IFERROR(VLOOKUP('CONVERSOR CodE a EHE-08'!C16,'CÁLCULO TRADUCTOR CodE-EHE'!F$27:G$29,2,FALSE),"")</f>
        <v/>
      </c>
      <c r="S29" s="206" t="str">
        <f>IFERROR(VLOOKUP('CONVERSOR CodE a EHE-08'!C21,'CÁLCULO TRADUCTOR CodE-EHE'!F$27:G$29,2,FALSE),"")</f>
        <v/>
      </c>
      <c r="T29" s="185"/>
      <c r="U29" s="185"/>
      <c r="V29" s="185"/>
      <c r="W29" s="9"/>
    </row>
    <row r="30" spans="1:23" ht="20.100000000000001" customHeight="1" thickTop="1" thickBot="1" x14ac:dyDescent="0.3">
      <c r="A30" s="107">
        <v>22</v>
      </c>
      <c r="B30" s="75" t="s">
        <v>17</v>
      </c>
      <c r="C30" s="53"/>
      <c r="E30" s="334" t="s">
        <v>30</v>
      </c>
      <c r="F30" s="198" t="s">
        <v>31</v>
      </c>
      <c r="G30" s="217" t="s">
        <v>12</v>
      </c>
      <c r="H30" s="49"/>
      <c r="I30" s="50"/>
      <c r="J30" s="51"/>
      <c r="K30" s="49">
        <v>0.5</v>
      </c>
      <c r="L30" s="50">
        <v>325</v>
      </c>
      <c r="M30" s="51">
        <v>30</v>
      </c>
      <c r="N30" s="49">
        <v>0.45</v>
      </c>
      <c r="O30" s="50">
        <v>325</v>
      </c>
      <c r="P30" s="51">
        <v>35</v>
      </c>
      <c r="Q30" s="194" t="str">
        <f>IFERROR(VLOOKUP('CONVERSOR CodE a EHE-08'!C9,'CÁLCULO TRADUCTOR CodE-EHE'!F$30:G$32,2,FALSE),"")</f>
        <v/>
      </c>
      <c r="R30" s="194" t="str">
        <f>IFERROR(VLOOKUP('CONVERSOR CodE a EHE-08'!C14,'CÁLCULO TRADUCTOR CodE-EHE'!F$30:G$32,2,FALSE),"")</f>
        <v/>
      </c>
      <c r="S30" s="203" t="str">
        <f>IFERROR(VLOOKUP('CONVERSOR CodE a EHE-08'!C19,'CÁLCULO TRADUCTOR CodE-EHE'!F$30:G$32,2,FALSE),"")</f>
        <v/>
      </c>
      <c r="T30" s="209" t="str">
        <f>IF(Q30="","",IF(T$5=1,Q30,IF(T$5=2,Q31,IF(T$5=3,Q32,""))))</f>
        <v/>
      </c>
      <c r="U30" s="209" t="str">
        <f t="shared" ref="U30:V30" si="7">IF(R30="","",IF(U$5=1,R30,IF(U$5=2,R31,IF(U$5=3,R32,""))))</f>
        <v/>
      </c>
      <c r="V30" s="209" t="str">
        <f t="shared" si="7"/>
        <v/>
      </c>
      <c r="W30" s="9"/>
    </row>
    <row r="31" spans="1:23" ht="20.100000000000001" customHeight="1" thickTop="1" x14ac:dyDescent="0.25">
      <c r="B31" s="78" t="s">
        <v>21</v>
      </c>
      <c r="C31" s="53"/>
      <c r="E31" s="335"/>
      <c r="F31" s="199" t="s">
        <v>2</v>
      </c>
      <c r="G31" s="218" t="s">
        <v>2</v>
      </c>
      <c r="H31" s="35"/>
      <c r="I31" s="36"/>
      <c r="J31" s="37"/>
      <c r="K31" s="35"/>
      <c r="L31" s="36"/>
      <c r="M31" s="37"/>
      <c r="N31" s="35"/>
      <c r="O31" s="36"/>
      <c r="P31" s="37"/>
      <c r="Q31" s="191" t="str">
        <f>IFERROR(VLOOKUP('CONVERSOR CodE a EHE-08'!C10,'CÁLCULO TRADUCTOR CodE-EHE'!F$30:G$32,2,FALSE),"")</f>
        <v/>
      </c>
      <c r="R31" s="191" t="str">
        <f>IFERROR(VLOOKUP('CONVERSOR CodE a EHE-08'!C15,'CÁLCULO TRADUCTOR CodE-EHE'!F$30:G$32,2,FALSE),"")</f>
        <v/>
      </c>
      <c r="S31" s="204" t="str">
        <f>IFERROR(VLOOKUP('CONVERSOR CodE a EHE-08'!C20,'CÁLCULO TRADUCTOR CodE-EHE'!F$30:G$32,2,FALSE),"")</f>
        <v/>
      </c>
      <c r="T31" s="185"/>
      <c r="U31" s="185"/>
      <c r="V31" s="185"/>
      <c r="W31" s="9"/>
    </row>
    <row r="32" spans="1:23" ht="20.100000000000001" customHeight="1" thickBot="1" x14ac:dyDescent="0.3">
      <c r="E32" s="336"/>
      <c r="F32" s="201" t="s">
        <v>2</v>
      </c>
      <c r="G32" s="220" t="s">
        <v>2</v>
      </c>
      <c r="H32" s="44"/>
      <c r="I32" s="45"/>
      <c r="J32" s="46"/>
      <c r="K32" s="44"/>
      <c r="L32" s="45"/>
      <c r="M32" s="46"/>
      <c r="N32" s="44"/>
      <c r="O32" s="45"/>
      <c r="P32" s="46"/>
      <c r="Q32" s="195" t="str">
        <f>IFERROR(VLOOKUP('CONVERSOR CodE a EHE-08'!C11,'CÁLCULO TRADUCTOR CodE-EHE'!F$30:G$32,2,FALSE),"")</f>
        <v/>
      </c>
      <c r="R32" s="195" t="str">
        <f>IFERROR(VLOOKUP('CONVERSOR CodE a EHE-08'!C16,'CÁLCULO TRADUCTOR CodE-EHE'!F$30:G$32,2,FALSE),"")</f>
        <v/>
      </c>
      <c r="S32" s="206" t="str">
        <f>IFERROR(VLOOKUP('CONVERSOR CodE a EHE-08'!C21,'CÁLCULO TRADUCTOR CodE-EHE'!F$30:G$32,2,FALSE),"")</f>
        <v/>
      </c>
      <c r="T32" s="185"/>
      <c r="U32" s="185"/>
      <c r="V32" s="185"/>
      <c r="W32" s="9"/>
    </row>
    <row r="33" spans="5:23" ht="20.100000000000001" customHeight="1" thickTop="1" thickBot="1" x14ac:dyDescent="0.3">
      <c r="E33" s="334" t="s">
        <v>32</v>
      </c>
      <c r="F33" s="198" t="s">
        <v>26</v>
      </c>
      <c r="G33" s="217" t="s">
        <v>12</v>
      </c>
      <c r="H33" s="49"/>
      <c r="I33" s="50"/>
      <c r="J33" s="51"/>
      <c r="K33" s="49">
        <v>0.5</v>
      </c>
      <c r="L33" s="50">
        <v>325</v>
      </c>
      <c r="M33" s="51">
        <v>30</v>
      </c>
      <c r="N33" s="49">
        <v>0.45</v>
      </c>
      <c r="O33" s="50">
        <v>325</v>
      </c>
      <c r="P33" s="51">
        <v>35</v>
      </c>
      <c r="Q33" s="194" t="str">
        <f>IFERROR(VLOOKUP('CONVERSOR CodE a EHE-08'!C9,'CÁLCULO TRADUCTOR CodE-EHE'!F$33:G$35,2,FALSE),"")</f>
        <v/>
      </c>
      <c r="R33" s="194" t="str">
        <f>IFERROR(VLOOKUP('CONVERSOR CodE a EHE-08'!C14,'CÁLCULO TRADUCTOR CodE-EHE'!F$33:G$35,2,FALSE),"")</f>
        <v/>
      </c>
      <c r="S33" s="203" t="str">
        <f>IFERROR(VLOOKUP('CONVERSOR CodE a EHE-08'!C14,'CÁLCULO TRADUCTOR CodE-EHE'!F$33:G$35,2,FALSE),"")</f>
        <v/>
      </c>
      <c r="T33" s="209" t="str">
        <f>IF(Q33="","",IF(T$5=1,Q33,IF(T$5=2,Q34,IF(T$5=3,Q35,""))))</f>
        <v/>
      </c>
      <c r="U33" s="209" t="str">
        <f t="shared" ref="U33:V33" si="8">IF(R33="","",IF(U$5=1,R33,IF(U$5=2,R34,IF(U$5=3,R35,""))))</f>
        <v/>
      </c>
      <c r="V33" s="209" t="str">
        <f t="shared" si="8"/>
        <v/>
      </c>
      <c r="W33" s="9"/>
    </row>
    <row r="34" spans="5:23" ht="20.100000000000001" customHeight="1" thickTop="1" x14ac:dyDescent="0.25">
      <c r="E34" s="335"/>
      <c r="F34" s="199" t="s">
        <v>2</v>
      </c>
      <c r="G34" s="218" t="s">
        <v>2</v>
      </c>
      <c r="H34" s="35"/>
      <c r="I34" s="36"/>
      <c r="J34" s="37"/>
      <c r="K34" s="35"/>
      <c r="L34" s="36"/>
      <c r="M34" s="37"/>
      <c r="N34" s="35"/>
      <c r="O34" s="36"/>
      <c r="P34" s="37"/>
      <c r="Q34" s="191" t="str">
        <f>IFERROR(VLOOKUP('CONVERSOR CodE a EHE-08'!C10,'CÁLCULO TRADUCTOR CodE-EHE'!F$33:G$35,2,FALSE),"")</f>
        <v/>
      </c>
      <c r="R34" s="191" t="str">
        <f>IFERROR(VLOOKUP('CONVERSOR CodE a EHE-08'!C15,'CÁLCULO TRADUCTOR CodE-EHE'!F$33:G$35,2,FALSE),"")</f>
        <v/>
      </c>
      <c r="S34" s="204" t="str">
        <f>IFERROR(VLOOKUP('CONVERSOR CodE a EHE-08'!C15,'CÁLCULO TRADUCTOR CodE-EHE'!F$33:G$35,2,FALSE),"")</f>
        <v/>
      </c>
      <c r="T34" s="166"/>
      <c r="U34" s="166"/>
      <c r="V34" s="166"/>
      <c r="W34" s="9"/>
    </row>
    <row r="35" spans="5:23" ht="20.100000000000001" customHeight="1" thickBot="1" x14ac:dyDescent="0.3">
      <c r="E35" s="336"/>
      <c r="F35" s="201" t="s">
        <v>2</v>
      </c>
      <c r="G35" s="220" t="s">
        <v>2</v>
      </c>
      <c r="H35" s="44"/>
      <c r="I35" s="45"/>
      <c r="J35" s="46"/>
      <c r="K35" s="44"/>
      <c r="L35" s="45"/>
      <c r="M35" s="46"/>
      <c r="N35" s="44"/>
      <c r="O35" s="45"/>
      <c r="P35" s="46"/>
      <c r="Q35" s="195" t="str">
        <f>IFERROR(VLOOKUP('CONVERSOR CodE a EHE-08'!C11,'CÁLCULO TRADUCTOR CodE-EHE'!F$33:G$35,2,FALSE),"")</f>
        <v/>
      </c>
      <c r="R35" s="195" t="str">
        <f>IFERROR(VLOOKUP('CONVERSOR CodE a EHE-08'!C16,'CÁLCULO TRADUCTOR CodE-EHE'!F$33:G$35,2,FALSE),"")</f>
        <v/>
      </c>
      <c r="S35" s="206" t="str">
        <f>IFERROR(VLOOKUP('CONVERSOR CodE a EHE-08'!C16,'CÁLCULO TRADUCTOR CodE-EHE'!F$33:G$35,2,FALSE),"")</f>
        <v/>
      </c>
      <c r="T35" s="166"/>
      <c r="U35" s="166"/>
      <c r="V35" s="166"/>
      <c r="W35" s="9"/>
    </row>
    <row r="36" spans="5:23" ht="20.100000000000001" customHeight="1" thickTop="1" thickBot="1" x14ac:dyDescent="0.3">
      <c r="E36" s="334" t="s">
        <v>33</v>
      </c>
      <c r="F36" s="198" t="s">
        <v>29</v>
      </c>
      <c r="G36" s="217" t="s">
        <v>12</v>
      </c>
      <c r="H36" s="49"/>
      <c r="I36" s="50"/>
      <c r="J36" s="51"/>
      <c r="K36" s="49">
        <v>0.5</v>
      </c>
      <c r="L36" s="50">
        <v>325</v>
      </c>
      <c r="M36" s="51">
        <v>30</v>
      </c>
      <c r="N36" s="49">
        <v>0.45</v>
      </c>
      <c r="O36" s="50">
        <v>325</v>
      </c>
      <c r="P36" s="51">
        <v>35</v>
      </c>
      <c r="Q36" s="194" t="str">
        <f>IFERROR(VLOOKUP('CONVERSOR CodE a EHE-08'!C9,'CÁLCULO TRADUCTOR CodE-EHE'!F$36:G$38,2,FALSE),"")</f>
        <v/>
      </c>
      <c r="R36" s="194" t="str">
        <f>IFERROR(VLOOKUP('CONVERSOR CodE a EHE-08'!C14,'CÁLCULO TRADUCTOR CodE-EHE'!F$36:G$38,2,FALSE),"")</f>
        <v/>
      </c>
      <c r="S36" s="203" t="str">
        <f>IFERROR(VLOOKUP('CONVERSOR CodE a EHE-08'!C19,'CÁLCULO TRADUCTOR CodE-EHE'!F$36:G$38,2,FALSE),"")</f>
        <v/>
      </c>
      <c r="T36" s="209" t="str">
        <f>IF(Q36="","",IF(T$5=1,Q36,IF(T$5=2,Q37,IF(T$5=3,Q38,""))))</f>
        <v/>
      </c>
      <c r="U36" s="209" t="str">
        <f t="shared" ref="U36:V36" si="9">IF(R36="","",IF(U$5=1,R36,IF(U$5=2,R37,IF(U$5=3,R38,""))))</f>
        <v/>
      </c>
      <c r="V36" s="209" t="str">
        <f t="shared" si="9"/>
        <v/>
      </c>
      <c r="W36" s="9"/>
    </row>
    <row r="37" spans="5:23" ht="20.100000000000001" customHeight="1" thickTop="1" x14ac:dyDescent="0.25">
      <c r="E37" s="335"/>
      <c r="F37" s="199" t="s">
        <v>2</v>
      </c>
      <c r="G37" s="218" t="s">
        <v>2</v>
      </c>
      <c r="H37" s="35"/>
      <c r="I37" s="36"/>
      <c r="J37" s="37"/>
      <c r="K37" s="35"/>
      <c r="L37" s="36"/>
      <c r="M37" s="37"/>
      <c r="N37" s="35"/>
      <c r="O37" s="36"/>
      <c r="P37" s="37"/>
      <c r="Q37" s="191" t="str">
        <f>IFERROR(VLOOKUP('CONVERSOR CodE a EHE-08'!C10,'CÁLCULO TRADUCTOR CodE-EHE'!F$36:G$38,2,FALSE),"")</f>
        <v/>
      </c>
      <c r="R37" s="191" t="str">
        <f>IFERROR(VLOOKUP('CONVERSOR CodE a EHE-08'!C15,'CÁLCULO TRADUCTOR CodE-EHE'!F$36:G$38,2,FALSE),"")</f>
        <v/>
      </c>
      <c r="S37" s="204" t="str">
        <f>IFERROR(VLOOKUP('CONVERSOR CodE a EHE-08'!C20,'CÁLCULO TRADUCTOR CodE-EHE'!F$36:G$38,2,FALSE),"")</f>
        <v/>
      </c>
      <c r="T37" s="185"/>
      <c r="U37" s="185"/>
      <c r="V37" s="185"/>
      <c r="W37" s="9"/>
    </row>
    <row r="38" spans="5:23" ht="20.100000000000001" customHeight="1" thickBot="1" x14ac:dyDescent="0.3">
      <c r="E38" s="336"/>
      <c r="F38" s="201" t="s">
        <v>2</v>
      </c>
      <c r="G38" s="220" t="s">
        <v>2</v>
      </c>
      <c r="H38" s="44"/>
      <c r="I38" s="45"/>
      <c r="J38" s="46"/>
      <c r="K38" s="44"/>
      <c r="L38" s="45"/>
      <c r="M38" s="46"/>
      <c r="N38" s="44"/>
      <c r="O38" s="45"/>
      <c r="P38" s="46"/>
      <c r="Q38" s="195" t="str">
        <f>IFERROR(VLOOKUP('CONVERSOR CodE a EHE-08'!C11,'CÁLCULO TRADUCTOR CodE-EHE'!F$36:G$38,2,FALSE),"")</f>
        <v/>
      </c>
      <c r="R38" s="195" t="str">
        <f>IFERROR(VLOOKUP('CONVERSOR CodE a EHE-08'!C16,'CÁLCULO TRADUCTOR CodE-EHE'!F$36:G$38,2,FALSE),"")</f>
        <v/>
      </c>
      <c r="S38" s="206" t="str">
        <f>IFERROR(VLOOKUP('CONVERSOR CodE a EHE-08'!C21,'CÁLCULO TRADUCTOR CodE-EHE'!F$36:G$38,2,FALSE),"")</f>
        <v/>
      </c>
      <c r="T38" s="185"/>
      <c r="U38" s="185"/>
      <c r="V38" s="185"/>
      <c r="W38" s="9"/>
    </row>
    <row r="39" spans="5:23" ht="20.100000000000001" customHeight="1" thickTop="1" thickBot="1" x14ac:dyDescent="0.3">
      <c r="E39" s="334" t="s">
        <v>44</v>
      </c>
      <c r="F39" s="198" t="s">
        <v>52</v>
      </c>
      <c r="G39" s="217" t="s">
        <v>13</v>
      </c>
      <c r="H39" s="49">
        <v>0.5</v>
      </c>
      <c r="I39" s="50">
        <v>275</v>
      </c>
      <c r="J39" s="51">
        <v>30</v>
      </c>
      <c r="K39" s="49">
        <v>0.5</v>
      </c>
      <c r="L39" s="50">
        <v>325</v>
      </c>
      <c r="M39" s="51">
        <v>30</v>
      </c>
      <c r="N39" s="49">
        <v>0.5</v>
      </c>
      <c r="O39" s="50">
        <v>325</v>
      </c>
      <c r="P39" s="51">
        <v>30</v>
      </c>
      <c r="Q39" s="194" t="str">
        <f>IFERROR(VLOOKUP('CONVERSOR CodE a EHE-08'!C9,'CÁLCULO TRADUCTOR CodE-EHE'!F$39:G$41,2,FALSE),"")</f>
        <v/>
      </c>
      <c r="R39" s="194" t="str">
        <f>IFERROR(VLOOKUP('CONVERSOR CodE a EHE-08'!C14,'CÁLCULO TRADUCTOR CodE-EHE'!F$39:G$41,2,FALSE),"")</f>
        <v/>
      </c>
      <c r="S39" s="203" t="str">
        <f>IFERROR(VLOOKUP('CONVERSOR CodE a EHE-08'!C19,'CÁLCULO TRADUCTOR CodE-EHE'!F$39:G$41,2,FALSE),"")</f>
        <v/>
      </c>
      <c r="T39" s="209" t="str">
        <f>IF(Q39="","",IF(T$5=1,Q39,IF(T$5=2,Q40,IF(T$5=3,Q41,""))))</f>
        <v/>
      </c>
      <c r="U39" s="209" t="str">
        <f t="shared" ref="U39:V39" si="10">IF(R39="","",IF(U$5=1,R39,IF(U$5=2,R40,IF(U$5=3,R41,""))))</f>
        <v/>
      </c>
      <c r="V39" s="209" t="str">
        <f t="shared" si="10"/>
        <v/>
      </c>
    </row>
    <row r="40" spans="5:23" ht="20.100000000000001" customHeight="1" thickTop="1" x14ac:dyDescent="0.25">
      <c r="E40" s="335"/>
      <c r="F40" s="199" t="s">
        <v>2</v>
      </c>
      <c r="G40" s="218" t="s">
        <v>2</v>
      </c>
      <c r="H40" s="35"/>
      <c r="I40" s="36"/>
      <c r="J40" s="37"/>
      <c r="K40" s="35"/>
      <c r="L40" s="36"/>
      <c r="M40" s="37"/>
      <c r="N40" s="35"/>
      <c r="O40" s="36"/>
      <c r="P40" s="37"/>
      <c r="Q40" s="191" t="str">
        <f>IFERROR(VLOOKUP('CONVERSOR CodE a EHE-08'!C10,'CÁLCULO TRADUCTOR CodE-EHE'!F$39:G$41,2,FALSE),"")</f>
        <v/>
      </c>
      <c r="R40" s="191" t="str">
        <f>IFERROR(VLOOKUP('CONVERSOR CodE a EHE-08'!C15,'CÁLCULO TRADUCTOR CodE-EHE'!F$39:G$41,2,FALSE),"")</f>
        <v/>
      </c>
      <c r="S40" s="204" t="str">
        <f>IFERROR(VLOOKUP('CONVERSOR CodE a EHE-08'!C20,'CÁLCULO TRADUCTOR CodE-EHE'!F$39:G$41,2,FALSE),"")</f>
        <v/>
      </c>
      <c r="T40" s="185"/>
      <c r="U40" s="185"/>
      <c r="V40" s="185"/>
    </row>
    <row r="41" spans="5:23" ht="20.100000000000001" customHeight="1" thickBot="1" x14ac:dyDescent="0.3">
      <c r="E41" s="336"/>
      <c r="F41" s="201" t="s">
        <v>2</v>
      </c>
      <c r="G41" s="220" t="s">
        <v>2</v>
      </c>
      <c r="H41" s="44"/>
      <c r="I41" s="45"/>
      <c r="J41" s="46"/>
      <c r="K41" s="44"/>
      <c r="L41" s="45"/>
      <c r="M41" s="46"/>
      <c r="N41" s="44"/>
      <c r="O41" s="45"/>
      <c r="P41" s="46"/>
      <c r="Q41" s="195" t="str">
        <f>IFERROR(VLOOKUP('CONVERSOR CodE a EHE-08'!C11,'CÁLCULO TRADUCTOR CodE-EHE'!F$39:G$41,2,FALSE),"")</f>
        <v/>
      </c>
      <c r="R41" s="195" t="str">
        <f>IFERROR(VLOOKUP('CONVERSOR CodE a EHE-08'!C16,'CÁLCULO TRADUCTOR CodE-EHE'!F$39:G$41,2,FALSE),"")</f>
        <v/>
      </c>
      <c r="S41" s="206" t="str">
        <f>IFERROR(VLOOKUP('CONVERSOR CodE a EHE-08'!C21,'CÁLCULO TRADUCTOR CodE-EHE'!F$39:G$41,2,FALSE),"")</f>
        <v/>
      </c>
      <c r="T41" s="185"/>
      <c r="U41" s="185"/>
      <c r="V41" s="185"/>
    </row>
    <row r="42" spans="5:23" ht="20.100000000000001" customHeight="1" thickTop="1" thickBot="1" x14ac:dyDescent="0.3">
      <c r="E42" s="334" t="s">
        <v>45</v>
      </c>
      <c r="F42" s="198" t="s">
        <v>91</v>
      </c>
      <c r="G42" s="217" t="s">
        <v>14</v>
      </c>
      <c r="H42" s="49">
        <v>0.5</v>
      </c>
      <c r="I42" s="50">
        <v>300</v>
      </c>
      <c r="J42" s="51">
        <v>30</v>
      </c>
      <c r="K42" s="49">
        <v>0.5</v>
      </c>
      <c r="L42" s="50">
        <v>350</v>
      </c>
      <c r="M42" s="51">
        <v>30</v>
      </c>
      <c r="N42" s="49">
        <v>0.45</v>
      </c>
      <c r="O42" s="50">
        <v>350</v>
      </c>
      <c r="P42" s="51">
        <v>35</v>
      </c>
      <c r="Q42" s="194" t="str">
        <f>IFERROR(VLOOKUP('CONVERSOR CodE a EHE-08'!C9,'CÁLCULO TRADUCTOR CodE-EHE'!F$42:G$44,2,FALSE),"")</f>
        <v/>
      </c>
      <c r="R42" s="194" t="str">
        <f>IFERROR(VLOOKUP('CONVERSOR CodE a EHE-08'!C14,'CÁLCULO TRADUCTOR CodE-EHE'!F$42:G$44,2,FALSE),"")</f>
        <v/>
      </c>
      <c r="S42" s="203" t="str">
        <f>IFERROR(VLOOKUP('CONVERSOR CodE a EHE-08'!C19,'CÁLCULO TRADUCTOR CodE-EHE'!F$42:G$44,2,FALSE),"")</f>
        <v/>
      </c>
      <c r="T42" s="209" t="str">
        <f>IF(Q42="","",IF(T$5=1,Q42,IF(T$5=2,Q43,IF(T$5=3,Q44,""))))</f>
        <v/>
      </c>
      <c r="U42" s="209" t="str">
        <f t="shared" ref="U42:V42" si="11">IF(R42="","",IF(U$5=1,R42,IF(U$5=2,R43,IF(U$5=3,R44,""))))</f>
        <v/>
      </c>
      <c r="V42" s="209" t="str">
        <f t="shared" si="11"/>
        <v/>
      </c>
    </row>
    <row r="43" spans="5:23" ht="20.100000000000001" customHeight="1" thickTop="1" x14ac:dyDescent="0.25">
      <c r="E43" s="335"/>
      <c r="F43" s="199" t="s">
        <v>2</v>
      </c>
      <c r="G43" s="218" t="s">
        <v>2</v>
      </c>
      <c r="H43" s="35"/>
      <c r="I43" s="36"/>
      <c r="J43" s="37"/>
      <c r="K43" s="35"/>
      <c r="L43" s="36"/>
      <c r="M43" s="37"/>
      <c r="N43" s="35"/>
      <c r="O43" s="36"/>
      <c r="P43" s="37"/>
      <c r="Q43" s="191" t="str">
        <f>IFERROR(VLOOKUP('CONVERSOR CodE a EHE-08'!C10,'CÁLCULO TRADUCTOR CodE-EHE'!F$42:G$44,2,FALSE),"")</f>
        <v/>
      </c>
      <c r="R43" s="191" t="str">
        <f>IFERROR(VLOOKUP('CONVERSOR CodE a EHE-08'!C15,'CÁLCULO TRADUCTOR CodE-EHE'!F$42:G$44,2,FALSE),"")</f>
        <v/>
      </c>
      <c r="S43" s="204" t="str">
        <f>IFERROR(VLOOKUP('CONVERSOR CodE a EHE-08'!C20,'CÁLCULO TRADUCTOR CodE-EHE'!F$42:G$44,2,FALSE),"")</f>
        <v/>
      </c>
      <c r="T43" s="185"/>
      <c r="U43" s="185"/>
      <c r="V43" s="212"/>
    </row>
    <row r="44" spans="5:23" ht="20.100000000000001" customHeight="1" thickBot="1" x14ac:dyDescent="0.3">
      <c r="E44" s="336"/>
      <c r="F44" s="201" t="s">
        <v>2</v>
      </c>
      <c r="G44" s="220" t="s">
        <v>2</v>
      </c>
      <c r="H44" s="44"/>
      <c r="I44" s="45"/>
      <c r="J44" s="46"/>
      <c r="K44" s="44"/>
      <c r="L44" s="45"/>
      <c r="M44" s="46"/>
      <c r="N44" s="44"/>
      <c r="O44" s="45"/>
      <c r="P44" s="46"/>
      <c r="Q44" s="195" t="str">
        <f>IFERROR(VLOOKUP('CONVERSOR CodE a EHE-08'!C11,'CÁLCULO TRADUCTOR CodE-EHE'!F$42:G$44,2,FALSE),"")</f>
        <v/>
      </c>
      <c r="R44" s="195" t="str">
        <f>IFERROR(VLOOKUP('CONVERSOR CodE a EHE-08'!C16,'CÁLCULO TRADUCTOR CodE-EHE'!F$42:G$44,2,FALSE),"")</f>
        <v/>
      </c>
      <c r="S44" s="206" t="str">
        <f>IFERROR(VLOOKUP('CONVERSOR CodE a EHE-08'!C21,'CÁLCULO TRADUCTOR CodE-EHE'!F$42:G$44,2,FALSE),"")</f>
        <v/>
      </c>
      <c r="T44" s="185"/>
      <c r="U44" s="185"/>
      <c r="V44" s="212"/>
    </row>
    <row r="45" spans="5:23" ht="20.100000000000001" customHeight="1" thickTop="1" thickBot="1" x14ac:dyDescent="0.3">
      <c r="E45" s="334" t="s">
        <v>46</v>
      </c>
      <c r="F45" s="198" t="s">
        <v>51</v>
      </c>
      <c r="G45" s="217" t="s">
        <v>15</v>
      </c>
      <c r="H45" s="49">
        <v>0.45</v>
      </c>
      <c r="I45" s="50">
        <v>325</v>
      </c>
      <c r="J45" s="51">
        <v>35</v>
      </c>
      <c r="K45" s="49">
        <v>0.45</v>
      </c>
      <c r="L45" s="50">
        <v>350</v>
      </c>
      <c r="M45" s="51">
        <v>35</v>
      </c>
      <c r="N45" s="49">
        <v>0.45</v>
      </c>
      <c r="O45" s="50">
        <v>350</v>
      </c>
      <c r="P45" s="51">
        <v>35</v>
      </c>
      <c r="Q45" s="194" t="str">
        <f>IFERROR(VLOOKUP('CONVERSOR CodE a EHE-08'!C9,'CÁLCULO TRADUCTOR CodE-EHE'!F$45:G$47,2,FALSE),"")</f>
        <v/>
      </c>
      <c r="R45" s="194" t="str">
        <f>IFERROR(VLOOKUP('CONVERSOR CodE a EHE-08'!C14,'CÁLCULO TRADUCTOR CodE-EHE'!F$45:G$47,2,FALSE),"")</f>
        <v/>
      </c>
      <c r="S45" s="203" t="str">
        <f>IFERROR(VLOOKUP('CONVERSOR CodE a EHE-08'!C19,'CÁLCULO TRADUCTOR CodE-EHE'!F$45:G$47,2,FALSE),"")</f>
        <v/>
      </c>
      <c r="T45" s="209" t="str">
        <f>IF(Q45="","",IF(T$5=1,Q45,IF(T$5=2,Q46,IF(T$5=3,Q47,""))))</f>
        <v/>
      </c>
      <c r="U45" s="209" t="str">
        <f t="shared" ref="U45:V45" si="12">IF(R45="","",IF(U$5=1,R45,IF(U$5=2,R46,IF(U$5=3,R47,""))))</f>
        <v/>
      </c>
      <c r="V45" s="209" t="str">
        <f t="shared" si="12"/>
        <v/>
      </c>
    </row>
    <row r="46" spans="5:23" ht="20.100000000000001" customHeight="1" thickTop="1" x14ac:dyDescent="0.25">
      <c r="E46" s="335"/>
      <c r="F46" s="199" t="s">
        <v>2</v>
      </c>
      <c r="G46" s="218" t="s">
        <v>2</v>
      </c>
      <c r="H46" s="35"/>
      <c r="I46" s="36"/>
      <c r="J46" s="37"/>
      <c r="K46" s="35"/>
      <c r="L46" s="36"/>
      <c r="M46" s="37"/>
      <c r="N46" s="35"/>
      <c r="O46" s="36"/>
      <c r="P46" s="37"/>
      <c r="Q46" s="191" t="str">
        <f>IFERROR(VLOOKUP('CONVERSOR CodE a EHE-08'!C10,'CÁLCULO TRADUCTOR CodE-EHE'!F$45:G$47,2,FALSE),"")</f>
        <v/>
      </c>
      <c r="R46" s="191" t="str">
        <f>IFERROR(VLOOKUP('CONVERSOR CodE a EHE-08'!C15,'CÁLCULO TRADUCTOR CodE-EHE'!F$45:G$47,2,FALSE),"")</f>
        <v/>
      </c>
      <c r="S46" s="204" t="str">
        <f>IFERROR(VLOOKUP('CONVERSOR CodE a EHE-08'!C20,'CÁLCULO TRADUCTOR CodE-EHE'!F$45:G$47,2,FALSE),"")</f>
        <v/>
      </c>
      <c r="T46" s="185"/>
      <c r="U46" s="185"/>
      <c r="V46" s="212"/>
    </row>
    <row r="47" spans="5:23" ht="20.100000000000001" customHeight="1" thickBot="1" x14ac:dyDescent="0.3">
      <c r="E47" s="336"/>
      <c r="F47" s="201" t="s">
        <v>2</v>
      </c>
      <c r="G47" s="220" t="s">
        <v>2</v>
      </c>
      <c r="H47" s="44"/>
      <c r="I47" s="45"/>
      <c r="J47" s="46"/>
      <c r="K47" s="44"/>
      <c r="L47" s="45"/>
      <c r="M47" s="46"/>
      <c r="N47" s="44"/>
      <c r="O47" s="45"/>
      <c r="P47" s="46"/>
      <c r="Q47" s="195" t="str">
        <f>IFERROR(VLOOKUP('CONVERSOR CodE a EHE-08'!C11,'CÁLCULO TRADUCTOR CodE-EHE'!F$45:G$47,2,FALSE),"")</f>
        <v/>
      </c>
      <c r="R47" s="195" t="str">
        <f>IFERROR(VLOOKUP('CONVERSOR CodE a EHE-08'!C16,'CÁLCULO TRADUCTOR CodE-EHE'!F$45:G$47,2,FALSE),"")</f>
        <v/>
      </c>
      <c r="S47" s="206" t="str">
        <f>IFERROR(VLOOKUP('CONVERSOR CodE a EHE-08'!C21,'CÁLCULO TRADUCTOR CodE-EHE'!F$45:G$47,2,FALSE),"")</f>
        <v/>
      </c>
      <c r="T47" s="185"/>
      <c r="U47" s="185"/>
      <c r="V47" s="212"/>
    </row>
    <row r="48" spans="5:23" ht="20.100000000000001" customHeight="1" thickTop="1" thickBot="1" x14ac:dyDescent="0.3">
      <c r="E48" s="334" t="s">
        <v>40</v>
      </c>
      <c r="F48" s="198" t="s">
        <v>53</v>
      </c>
      <c r="G48" s="217" t="s">
        <v>16</v>
      </c>
      <c r="H48" s="49">
        <v>0.55000000000000004</v>
      </c>
      <c r="I48" s="50">
        <v>275</v>
      </c>
      <c r="J48" s="51">
        <v>30</v>
      </c>
      <c r="K48" s="49">
        <v>0.55000000000000004</v>
      </c>
      <c r="L48" s="50">
        <v>300</v>
      </c>
      <c r="M48" s="51">
        <v>30</v>
      </c>
      <c r="N48" s="49">
        <v>0.45</v>
      </c>
      <c r="O48" s="50">
        <v>300</v>
      </c>
      <c r="P48" s="51">
        <v>30</v>
      </c>
      <c r="Q48" s="194" t="str">
        <f>IFERROR(VLOOKUP('CONVERSOR CodE a EHE-08'!C9,'CÁLCULO TRADUCTOR CodE-EHE'!F$48:G$50,2,FALSE),"")</f>
        <v/>
      </c>
      <c r="R48" s="194" t="str">
        <f>IFERROR(VLOOKUP('CONVERSOR CodE a EHE-08'!C14,'CÁLCULO TRADUCTOR CodE-EHE'!F$48:G$50,2,FALSE),"")</f>
        <v/>
      </c>
      <c r="S48" s="203" t="str">
        <f>IFERROR(VLOOKUP('CONVERSOR CodE a EHE-08'!C19,'CÁLCULO TRADUCTOR CodE-EHE'!F$48:G$50,2,FALSE),"")</f>
        <v/>
      </c>
      <c r="T48" s="209" t="str">
        <f>IF(Q48="","",IF(T$5=1,Q48,IF(T$5=2,Q49,IF(T$5=3,Q50,""))))</f>
        <v/>
      </c>
      <c r="U48" s="209" t="str">
        <f t="shared" ref="U48:V48" si="13">IF(R48="","",IF(U$5=1,R48,IF(U$5=2,R49,IF(U$5=3,R50,""))))</f>
        <v/>
      </c>
      <c r="V48" s="209" t="str">
        <f t="shared" si="13"/>
        <v/>
      </c>
    </row>
    <row r="49" spans="5:22" ht="20.100000000000001" customHeight="1" thickTop="1" x14ac:dyDescent="0.25">
      <c r="E49" s="335"/>
      <c r="F49" s="199" t="s">
        <v>2</v>
      </c>
      <c r="G49" s="218" t="s">
        <v>2</v>
      </c>
      <c r="H49" s="35"/>
      <c r="I49" s="36"/>
      <c r="J49" s="37"/>
      <c r="K49" s="35"/>
      <c r="L49" s="36"/>
      <c r="M49" s="37"/>
      <c r="N49" s="35"/>
      <c r="O49" s="36"/>
      <c r="P49" s="37"/>
      <c r="Q49" s="191" t="str">
        <f>IFERROR(VLOOKUP('CONVERSOR CodE a EHE-08'!C10,'CÁLCULO TRADUCTOR CodE-EHE'!F$48:G$50,2,FALSE),"")</f>
        <v/>
      </c>
      <c r="R49" s="191" t="str">
        <f>IFERROR(VLOOKUP('CONVERSOR CodE a EHE-08'!C15,'CÁLCULO TRADUCTOR CodE-EHE'!F$48:G$50,2,FALSE),"")</f>
        <v/>
      </c>
      <c r="S49" s="204" t="str">
        <f>IFERROR(VLOOKUP('CONVERSOR CodE a EHE-08'!C20,'CÁLCULO TRADUCTOR CodE-EHE'!F$48:G$50,2,FALSE),"")</f>
        <v/>
      </c>
      <c r="T49" s="185"/>
      <c r="U49" s="185"/>
      <c r="V49" s="212"/>
    </row>
    <row r="50" spans="5:22" ht="20.100000000000001" customHeight="1" thickBot="1" x14ac:dyDescent="0.3">
      <c r="E50" s="336"/>
      <c r="F50" s="201" t="s">
        <v>2</v>
      </c>
      <c r="G50" s="220" t="s">
        <v>2</v>
      </c>
      <c r="H50" s="44"/>
      <c r="I50" s="45"/>
      <c r="J50" s="46"/>
      <c r="K50" s="44"/>
      <c r="L50" s="45"/>
      <c r="M50" s="46"/>
      <c r="N50" s="44"/>
      <c r="O50" s="45"/>
      <c r="P50" s="46"/>
      <c r="Q50" s="195" t="str">
        <f>IFERROR(VLOOKUP('CONVERSOR CodE a EHE-08'!C11,'CÁLCULO TRADUCTOR CodE-EHE'!F$48:G$50,2,FALSE),"")</f>
        <v/>
      </c>
      <c r="R50" s="195" t="str">
        <f>IFERROR(VLOOKUP('CONVERSOR CodE a EHE-08'!C16,'CÁLCULO TRADUCTOR CodE-EHE'!F$48:G$50,2,FALSE),"")</f>
        <v/>
      </c>
      <c r="S50" s="206" t="str">
        <f>IFERROR(VLOOKUP('CONVERSOR CodE a EHE-08'!C21,'CÁLCULO TRADUCTOR CodE-EHE'!F$48:G$50,2,FALSE),"")</f>
        <v/>
      </c>
      <c r="T50" s="185"/>
      <c r="U50" s="185"/>
      <c r="V50" s="212"/>
    </row>
    <row r="51" spans="5:22" ht="20.100000000000001" customHeight="1" thickTop="1" thickBot="1" x14ac:dyDescent="0.3">
      <c r="E51" s="334" t="s">
        <v>42</v>
      </c>
      <c r="F51" s="198" t="s">
        <v>54</v>
      </c>
      <c r="G51" s="217" t="s">
        <v>16</v>
      </c>
      <c r="H51" s="49">
        <v>0.55000000000000004</v>
      </c>
      <c r="I51" s="50">
        <v>275</v>
      </c>
      <c r="J51" s="51">
        <v>30</v>
      </c>
      <c r="K51" s="49">
        <v>0.55000000000000004</v>
      </c>
      <c r="L51" s="50">
        <v>300</v>
      </c>
      <c r="M51" s="51">
        <v>30</v>
      </c>
      <c r="N51" s="49">
        <v>0.45</v>
      </c>
      <c r="O51" s="50">
        <v>300</v>
      </c>
      <c r="P51" s="51">
        <v>30</v>
      </c>
      <c r="Q51" s="194" t="str">
        <f>IFERROR(VLOOKUP('CONVERSOR CodE a EHE-08'!C9,'CÁLCULO TRADUCTOR CodE-EHE'!F$51:G$53,2,FALSE),"")</f>
        <v/>
      </c>
      <c r="R51" s="194" t="str">
        <f>IFERROR(VLOOKUP('CONVERSOR CodE a EHE-08'!C14,'CÁLCULO TRADUCTOR CodE-EHE'!F$51:G$53,2,FALSE),"")</f>
        <v/>
      </c>
      <c r="S51" s="203" t="str">
        <f>IFERROR(VLOOKUP('CONVERSOR CodE a EHE-08'!C19,'CÁLCULO TRADUCTOR CodE-EHE'!F$51:G$53,2,FALSE),"")</f>
        <v/>
      </c>
      <c r="T51" s="209" t="str">
        <f>IF(Q51="","",IF(T$5=1,Q51,IF(T$5=2,Q52,IF(T$5=3,Q53,""))))</f>
        <v/>
      </c>
      <c r="U51" s="209" t="str">
        <f t="shared" ref="U51:V51" si="14">IF(R51="","",IF(U$5=1,R51,IF(U$5=2,R52,IF(U$5=3,R53,""))))</f>
        <v/>
      </c>
      <c r="V51" s="209" t="str">
        <f t="shared" si="14"/>
        <v/>
      </c>
    </row>
    <row r="52" spans="5:22" ht="20.100000000000001" customHeight="1" thickTop="1" x14ac:dyDescent="0.25">
      <c r="E52" s="335"/>
      <c r="F52" s="199" t="s">
        <v>2</v>
      </c>
      <c r="G52" s="218" t="s">
        <v>2</v>
      </c>
      <c r="H52" s="35"/>
      <c r="I52" s="36"/>
      <c r="J52" s="37"/>
      <c r="K52" s="35"/>
      <c r="L52" s="36"/>
      <c r="M52" s="37"/>
      <c r="N52" s="35"/>
      <c r="O52" s="36"/>
      <c r="P52" s="37"/>
      <c r="Q52" s="191" t="str">
        <f>IFERROR(VLOOKUP('CONVERSOR CodE a EHE-08'!C10,'CÁLCULO TRADUCTOR CodE-EHE'!F$51:G$53,2,FALSE),"")</f>
        <v/>
      </c>
      <c r="R52" s="191" t="str">
        <f>IFERROR(VLOOKUP('CONVERSOR CodE a EHE-08'!C15,'CÁLCULO TRADUCTOR CodE-EHE'!F$51:G$53,2,FALSE),"")</f>
        <v/>
      </c>
      <c r="S52" s="204" t="str">
        <f>IFERROR(VLOOKUP('CONVERSOR CodE a EHE-08'!C20,'CÁLCULO TRADUCTOR CodE-EHE'!F$51:G$53,2,FALSE),"")</f>
        <v/>
      </c>
      <c r="T52" s="185"/>
      <c r="U52" s="185"/>
      <c r="V52" s="212"/>
    </row>
    <row r="53" spans="5:22" ht="20.100000000000001" customHeight="1" thickBot="1" x14ac:dyDescent="0.3">
      <c r="E53" s="336"/>
      <c r="F53" s="201" t="s">
        <v>2</v>
      </c>
      <c r="G53" s="220" t="s">
        <v>2</v>
      </c>
      <c r="H53" s="44"/>
      <c r="I53" s="45"/>
      <c r="J53" s="46"/>
      <c r="K53" s="44"/>
      <c r="L53" s="45"/>
      <c r="M53" s="46"/>
      <c r="N53" s="44"/>
      <c r="O53" s="45"/>
      <c r="P53" s="46"/>
      <c r="Q53" s="195" t="str">
        <f>IFERROR(VLOOKUP('CONVERSOR CodE a EHE-08'!C11,'CÁLCULO TRADUCTOR CodE-EHE'!F$51:G$53,2,FALSE),"")</f>
        <v/>
      </c>
      <c r="R53" s="195" t="str">
        <f>IFERROR(VLOOKUP('CONVERSOR CodE a EHE-08'!C16,'CÁLCULO TRADUCTOR CodE-EHE'!F$51:G$53,2,FALSE),"")</f>
        <v/>
      </c>
      <c r="S53" s="206" t="str">
        <f>IFERROR(VLOOKUP('CONVERSOR CodE a EHE-08'!C21,'CÁLCULO TRADUCTOR CodE-EHE'!F$51:G$53,2,FALSE),"")</f>
        <v/>
      </c>
      <c r="T53" s="185"/>
      <c r="U53" s="185"/>
      <c r="V53" s="212"/>
    </row>
    <row r="54" spans="5:22" ht="20.100000000000001" customHeight="1" thickTop="1" thickBot="1" x14ac:dyDescent="0.3">
      <c r="E54" s="334" t="s">
        <v>41</v>
      </c>
      <c r="F54" s="198" t="s">
        <v>55</v>
      </c>
      <c r="G54" s="217" t="s">
        <v>17</v>
      </c>
      <c r="H54" s="49">
        <v>0.5</v>
      </c>
      <c r="I54" s="50">
        <v>300</v>
      </c>
      <c r="J54" s="51">
        <v>30</v>
      </c>
      <c r="K54" s="49">
        <v>0.5</v>
      </c>
      <c r="L54" s="50">
        <v>325</v>
      </c>
      <c r="M54" s="51">
        <v>30</v>
      </c>
      <c r="N54" s="49">
        <v>0.5</v>
      </c>
      <c r="O54" s="50">
        <v>325</v>
      </c>
      <c r="P54" s="51">
        <v>30</v>
      </c>
      <c r="Q54" s="194" t="str">
        <f>IFERROR(VLOOKUP('CONVERSOR CodE a EHE-08'!C9,'CÁLCULO TRADUCTOR CodE-EHE'!F$54:G$56,2,FALSE),"")</f>
        <v/>
      </c>
      <c r="R54" s="194" t="str">
        <f>IFERROR(VLOOKUP('CONVERSOR CodE a EHE-08'!C14,'CÁLCULO TRADUCTOR CodE-EHE'!F$54:G$56,2,FALSE),"")</f>
        <v/>
      </c>
      <c r="S54" s="203" t="str">
        <f>IFERROR(VLOOKUP('CONVERSOR CodE a EHE-08'!C19,'CÁLCULO TRADUCTOR CodE-EHE'!F$54:G$56,2,FALSE),"")</f>
        <v/>
      </c>
      <c r="T54" s="209" t="str">
        <f>IF(Q54="","",IF(T$5=1,Q54,IF(T$5=2,Q55,IF(T$5=3,Q56,""))))</f>
        <v/>
      </c>
      <c r="U54" s="209" t="str">
        <f t="shared" ref="U54:V54" si="15">IF(R54="","",IF(U$5=1,R54,IF(U$5=2,R55,IF(U$5=3,R56,""))))</f>
        <v/>
      </c>
      <c r="V54" s="209" t="str">
        <f t="shared" si="15"/>
        <v/>
      </c>
    </row>
    <row r="55" spans="5:22" ht="20.100000000000001" customHeight="1" thickTop="1" x14ac:dyDescent="0.25">
      <c r="E55" s="335"/>
      <c r="F55" s="199" t="s">
        <v>2</v>
      </c>
      <c r="G55" s="218" t="s">
        <v>2</v>
      </c>
      <c r="H55" s="35"/>
      <c r="I55" s="36"/>
      <c r="J55" s="37"/>
      <c r="K55" s="35"/>
      <c r="L55" s="36"/>
      <c r="M55" s="37"/>
      <c r="N55" s="35"/>
      <c r="O55" s="36"/>
      <c r="P55" s="37"/>
      <c r="Q55" s="191" t="str">
        <f>IFERROR(VLOOKUP('CONVERSOR CodE a EHE-08'!C10,'CÁLCULO TRADUCTOR CodE-EHE'!F$54:G$56,2,FALSE),"")</f>
        <v/>
      </c>
      <c r="R55" s="191" t="str">
        <f>IFERROR(VLOOKUP('CONVERSOR CodE a EHE-08'!C15,'CÁLCULO TRADUCTOR CodE-EHE'!F$54:G$56,2,FALSE),"")</f>
        <v/>
      </c>
      <c r="S55" s="204" t="str">
        <f>IFERROR(VLOOKUP('CONVERSOR CodE a EHE-08'!C20,'CÁLCULO TRADUCTOR CodE-EHE'!F$54:G$56,2,FALSE),"")</f>
        <v/>
      </c>
      <c r="T55" s="185"/>
      <c r="U55" s="185"/>
      <c r="V55" s="212"/>
    </row>
    <row r="56" spans="5:22" ht="20.100000000000001" customHeight="1" thickBot="1" x14ac:dyDescent="0.3">
      <c r="E56" s="336"/>
      <c r="F56" s="201" t="s">
        <v>2</v>
      </c>
      <c r="G56" s="220" t="s">
        <v>2</v>
      </c>
      <c r="H56" s="44"/>
      <c r="I56" s="45"/>
      <c r="J56" s="46"/>
      <c r="K56" s="44"/>
      <c r="L56" s="45"/>
      <c r="M56" s="46"/>
      <c r="N56" s="44"/>
      <c r="O56" s="45"/>
      <c r="P56" s="46"/>
      <c r="Q56" s="195" t="str">
        <f>IFERROR(VLOOKUP('CONVERSOR CodE a EHE-08'!C11,'CÁLCULO TRADUCTOR CodE-EHE'!F$54:G$56,2,FALSE),"")</f>
        <v/>
      </c>
      <c r="R56" s="195" t="str">
        <f>IFERROR(VLOOKUP('CONVERSOR CodE a EHE-08'!C16,'CÁLCULO TRADUCTOR CodE-EHE'!F$54:G$56,2,FALSE),"")</f>
        <v/>
      </c>
      <c r="S56" s="206" t="str">
        <f>IFERROR(VLOOKUP('CONVERSOR CodE a EHE-08'!C21,'CÁLCULO TRADUCTOR CodE-EHE'!F$54:G$56,2,FALSE),"")</f>
        <v/>
      </c>
      <c r="T56" s="185"/>
      <c r="U56" s="185"/>
      <c r="V56" s="212"/>
    </row>
    <row r="57" spans="5:22" ht="20.100000000000001" customHeight="1" thickTop="1" thickBot="1" x14ac:dyDescent="0.3">
      <c r="E57" s="334" t="s">
        <v>43</v>
      </c>
      <c r="F57" s="198" t="s">
        <v>56</v>
      </c>
      <c r="G57" s="217" t="s">
        <v>17</v>
      </c>
      <c r="H57" s="49">
        <v>0.5</v>
      </c>
      <c r="I57" s="50">
        <v>300</v>
      </c>
      <c r="J57" s="51">
        <v>30</v>
      </c>
      <c r="K57" s="49">
        <v>0.5</v>
      </c>
      <c r="L57" s="50">
        <v>325</v>
      </c>
      <c r="M57" s="51">
        <v>30</v>
      </c>
      <c r="N57" s="49">
        <v>0.5</v>
      </c>
      <c r="O57" s="50">
        <v>325</v>
      </c>
      <c r="P57" s="51">
        <v>30</v>
      </c>
      <c r="Q57" s="194" t="str">
        <f>IFERROR(VLOOKUP('CONVERSOR CodE a EHE-08'!C9,'CÁLCULO TRADUCTOR CodE-EHE'!F$57:G$59,2,FALSE),"")</f>
        <v/>
      </c>
      <c r="R57" s="194" t="str">
        <f>IFERROR(VLOOKUP('CONVERSOR CodE a EHE-08'!C14,'CÁLCULO TRADUCTOR CodE-EHE'!F$57:G$59,2,FALSE),"")</f>
        <v/>
      </c>
      <c r="S57" s="203" t="str">
        <f>IFERROR(VLOOKUP('CONVERSOR CodE a EHE-08'!C19,'CÁLCULO TRADUCTOR CodE-EHE'!F$57:G$59,2,FALSE),"")</f>
        <v/>
      </c>
      <c r="T57" s="209" t="str">
        <f>IF(Q57="","",IF(T$5=1,Q57,IF(T$5=2,Q58,IF(T$5=3,Q59,""))))</f>
        <v/>
      </c>
      <c r="U57" s="209" t="str">
        <f t="shared" ref="U57:V57" si="16">IF(R57="","",IF(U$5=1,R57,IF(U$5=2,R58,IF(U$5=3,R59,""))))</f>
        <v/>
      </c>
      <c r="V57" s="209" t="str">
        <f t="shared" si="16"/>
        <v/>
      </c>
    </row>
    <row r="58" spans="5:22" ht="20.100000000000001" customHeight="1" thickTop="1" x14ac:dyDescent="0.25">
      <c r="E58" s="335"/>
      <c r="F58" s="199" t="s">
        <v>2</v>
      </c>
      <c r="G58" s="218" t="s">
        <v>2</v>
      </c>
      <c r="H58" s="35"/>
      <c r="I58" s="36"/>
      <c r="J58" s="37"/>
      <c r="K58" s="35"/>
      <c r="L58" s="36"/>
      <c r="M58" s="37"/>
      <c r="N58" s="35"/>
      <c r="O58" s="36"/>
      <c r="P58" s="37"/>
      <c r="Q58" s="191" t="str">
        <f>IFERROR(VLOOKUP('CONVERSOR CodE a EHE-08'!C10,'CÁLCULO TRADUCTOR CodE-EHE'!F$57:G$59,2,FALSE),"")</f>
        <v/>
      </c>
      <c r="R58" s="191" t="str">
        <f>IFERROR(VLOOKUP('CONVERSOR CodE a EHE-08'!C15,'CÁLCULO TRADUCTOR CodE-EHE'!F$57:G$59,2,FALSE),"")</f>
        <v/>
      </c>
      <c r="S58" s="204" t="str">
        <f>IFERROR(VLOOKUP('CONVERSOR CodE a EHE-08'!C20,'CÁLCULO TRADUCTOR CodE-EHE'!F$57:G$59,2,FALSE),"")</f>
        <v/>
      </c>
      <c r="T58" s="185"/>
      <c r="U58" s="185"/>
      <c r="V58" s="212"/>
    </row>
    <row r="59" spans="5:22" ht="20.100000000000001" customHeight="1" thickBot="1" x14ac:dyDescent="0.3">
      <c r="E59" s="336"/>
      <c r="F59" s="201" t="s">
        <v>2</v>
      </c>
      <c r="G59" s="220" t="s">
        <v>2</v>
      </c>
      <c r="H59" s="44"/>
      <c r="I59" s="45"/>
      <c r="J59" s="46"/>
      <c r="K59" s="44"/>
      <c r="L59" s="45"/>
      <c r="M59" s="46"/>
      <c r="N59" s="44"/>
      <c r="O59" s="45"/>
      <c r="P59" s="46"/>
      <c r="Q59" s="195" t="str">
        <f>IFERROR(VLOOKUP('CONVERSOR CodE a EHE-08'!C11,'CÁLCULO TRADUCTOR CodE-EHE'!F$57:G$59,2,FALSE),"")</f>
        <v/>
      </c>
      <c r="R59" s="195" t="str">
        <f>IFERROR(VLOOKUP('CONVERSOR CodE a EHE-08'!C16,'CÁLCULO TRADUCTOR CodE-EHE'!F$57:G$59,2,FALSE),"")</f>
        <v/>
      </c>
      <c r="S59" s="206" t="str">
        <f>IFERROR(VLOOKUP('CONVERSOR CodE a EHE-08'!C21,'CÁLCULO TRADUCTOR CodE-EHE'!F$57:G$59,2,FALSE),"")</f>
        <v/>
      </c>
      <c r="T59" s="185"/>
      <c r="U59" s="185"/>
      <c r="V59" s="212"/>
    </row>
    <row r="60" spans="5:22" ht="20.100000000000001" customHeight="1" thickTop="1" thickBot="1" x14ac:dyDescent="0.3">
      <c r="E60" s="334" t="s">
        <v>47</v>
      </c>
      <c r="F60" s="198" t="s">
        <v>59</v>
      </c>
      <c r="G60" s="217" t="s">
        <v>18</v>
      </c>
      <c r="H60" s="49">
        <v>0.5</v>
      </c>
      <c r="I60" s="50">
        <v>300</v>
      </c>
      <c r="J60" s="51">
        <v>30</v>
      </c>
      <c r="K60" s="49">
        <v>0.5</v>
      </c>
      <c r="L60" s="50">
        <v>325</v>
      </c>
      <c r="M60" s="51">
        <v>30</v>
      </c>
      <c r="N60" s="49">
        <v>0.5</v>
      </c>
      <c r="O60" s="50">
        <v>325</v>
      </c>
      <c r="P60" s="51">
        <v>30</v>
      </c>
      <c r="Q60" s="194" t="str">
        <f>IFERROR(VLOOKUP('CONVERSOR CodE a EHE-08'!C9,'CÁLCULO TRADUCTOR CodE-EHE'!F$60:G$62,2,FALSE),"")</f>
        <v/>
      </c>
      <c r="R60" s="194" t="str">
        <f>IFERROR(VLOOKUP('CONVERSOR CodE a EHE-08'!C14,'CÁLCULO TRADUCTOR CodE-EHE'!F$60:G$62,2,FALSE),"")</f>
        <v/>
      </c>
      <c r="S60" s="203" t="str">
        <f>IFERROR(VLOOKUP('CONVERSOR CodE a EHE-08'!C19,'CÁLCULO TRADUCTOR CodE-EHE'!F$60:G$62,2,FALSE),"")</f>
        <v/>
      </c>
      <c r="T60" s="209" t="str">
        <f>IF(Q60="","",IF(T$5=1,Q60,IF(T$5=2,Q61,IF(T$5=3,Q62,""))))</f>
        <v/>
      </c>
      <c r="U60" s="209" t="str">
        <f t="shared" ref="U60:V60" si="17">IF(R60="","",IF(U$5=1,R60,IF(U$5=2,R61,IF(U$5=3,R62,""))))</f>
        <v/>
      </c>
      <c r="V60" s="209" t="str">
        <f t="shared" si="17"/>
        <v/>
      </c>
    </row>
    <row r="61" spans="5:22" ht="20.100000000000001" customHeight="1" thickTop="1" x14ac:dyDescent="0.25">
      <c r="E61" s="335"/>
      <c r="F61" s="199" t="s">
        <v>2</v>
      </c>
      <c r="G61" s="218" t="s">
        <v>2</v>
      </c>
      <c r="H61" s="35"/>
      <c r="I61" s="36"/>
      <c r="J61" s="37"/>
      <c r="K61" s="35"/>
      <c r="L61" s="36"/>
      <c r="M61" s="37"/>
      <c r="N61" s="35"/>
      <c r="O61" s="36"/>
      <c r="P61" s="37"/>
      <c r="Q61" s="191" t="str">
        <f>IFERROR(VLOOKUP('CONVERSOR CodE a EHE-08'!C10,'CÁLCULO TRADUCTOR CodE-EHE'!F$60:G$62,2,FALSE),"")</f>
        <v/>
      </c>
      <c r="R61" s="191" t="str">
        <f>IFERROR(VLOOKUP('CONVERSOR CodE a EHE-08'!C15,'CÁLCULO TRADUCTOR CodE-EHE'!F$60:G$62,2,FALSE),"")</f>
        <v/>
      </c>
      <c r="S61" s="204" t="str">
        <f>IFERROR(VLOOKUP('CONVERSOR CodE a EHE-08'!C20,'CÁLCULO TRADUCTOR CodE-EHE'!F$60:G$62,2,FALSE),"")</f>
        <v/>
      </c>
      <c r="T61" s="185"/>
      <c r="U61" s="185"/>
      <c r="V61" s="212"/>
    </row>
    <row r="62" spans="5:22" ht="20.100000000000001" customHeight="1" thickBot="1" x14ac:dyDescent="0.3">
      <c r="E62" s="336"/>
      <c r="F62" s="201" t="s">
        <v>2</v>
      </c>
      <c r="G62" s="220" t="s">
        <v>2</v>
      </c>
      <c r="H62" s="44"/>
      <c r="I62" s="45"/>
      <c r="J62" s="46"/>
      <c r="K62" s="44"/>
      <c r="L62" s="45"/>
      <c r="M62" s="46"/>
      <c r="N62" s="44"/>
      <c r="O62" s="45"/>
      <c r="P62" s="46"/>
      <c r="Q62" s="195" t="str">
        <f>IFERROR(VLOOKUP('CONVERSOR CodE a EHE-08'!C11,'CÁLCULO TRADUCTOR CodE-EHE'!F$60:G$62,2,FALSE),"")</f>
        <v/>
      </c>
      <c r="R62" s="195" t="str">
        <f>IFERROR(VLOOKUP('CONVERSOR CodE a EHE-08'!C16,'CÁLCULO TRADUCTOR CodE-EHE'!F$60:G$62,2,FALSE),"")</f>
        <v/>
      </c>
      <c r="S62" s="206" t="str">
        <f>IFERROR(VLOOKUP('CONVERSOR CodE a EHE-08'!C21,'CÁLCULO TRADUCTOR CodE-EHE'!F$60:G$62,2,FALSE),"")</f>
        <v/>
      </c>
      <c r="T62" s="185"/>
      <c r="U62" s="185"/>
      <c r="V62" s="212"/>
    </row>
    <row r="63" spans="5:22" ht="20.100000000000001" customHeight="1" thickTop="1" thickBot="1" x14ac:dyDescent="0.3">
      <c r="E63" s="334" t="s">
        <v>48</v>
      </c>
      <c r="F63" s="198" t="s">
        <v>60</v>
      </c>
      <c r="G63" s="217" t="s">
        <v>18</v>
      </c>
      <c r="H63" s="49">
        <v>0.5</v>
      </c>
      <c r="I63" s="50">
        <v>300</v>
      </c>
      <c r="J63" s="51">
        <v>30</v>
      </c>
      <c r="K63" s="49">
        <v>0.5</v>
      </c>
      <c r="L63" s="50">
        <v>325</v>
      </c>
      <c r="M63" s="51">
        <v>30</v>
      </c>
      <c r="N63" s="49">
        <v>0.5</v>
      </c>
      <c r="O63" s="50">
        <v>325</v>
      </c>
      <c r="P63" s="51">
        <v>30</v>
      </c>
      <c r="Q63" s="194" t="str">
        <f>IFERROR(VLOOKUP('CONVERSOR CodE a EHE-08'!C9,'CÁLCULO TRADUCTOR CodE-EHE'!F$63:G$65,2,FALSE),"")</f>
        <v/>
      </c>
      <c r="R63" s="194" t="str">
        <f>IFERROR(VLOOKUP('CONVERSOR CodE a EHE-08'!C14,'CÁLCULO TRADUCTOR CodE-EHE'!F$63:G$65,2,FALSE),"")</f>
        <v/>
      </c>
      <c r="S63" s="203" t="str">
        <f>IFERROR(VLOOKUP('CONVERSOR CodE a EHE-08'!C19,'CÁLCULO TRADUCTOR CodE-EHE'!F$63:G$65,2,FALSE),"")</f>
        <v/>
      </c>
      <c r="T63" s="209" t="str">
        <f>IF(Q63="","",IF(T$5=1,Q63,IF(T$5=2,Q64,IF(T$5=3,Q65,""))))</f>
        <v/>
      </c>
      <c r="U63" s="209" t="str">
        <f t="shared" ref="U63:V63" si="18">IF(R63="","",IF(U$5=1,R63,IF(U$5=2,R64,IF(U$5=3,R65,""))))</f>
        <v/>
      </c>
      <c r="V63" s="209" t="str">
        <f t="shared" si="18"/>
        <v/>
      </c>
    </row>
    <row r="64" spans="5:22" ht="20.100000000000001" customHeight="1" thickTop="1" x14ac:dyDescent="0.25">
      <c r="E64" s="335"/>
      <c r="F64" s="199" t="s">
        <v>2</v>
      </c>
      <c r="G64" s="218" t="s">
        <v>2</v>
      </c>
      <c r="H64" s="35"/>
      <c r="I64" s="36"/>
      <c r="J64" s="37"/>
      <c r="K64" s="35"/>
      <c r="L64" s="36"/>
      <c r="M64" s="37"/>
      <c r="N64" s="35"/>
      <c r="O64" s="36"/>
      <c r="P64" s="37"/>
      <c r="Q64" s="191" t="str">
        <f>IFERROR(VLOOKUP('CONVERSOR CodE a EHE-08'!C10,'CÁLCULO TRADUCTOR CodE-EHE'!F$63:G$65,2,FALSE),"")</f>
        <v/>
      </c>
      <c r="R64" s="191" t="str">
        <f>IFERROR(VLOOKUP('CONVERSOR CodE a EHE-08'!C15,'CÁLCULO TRADUCTOR CodE-EHE'!F$63:G$65,2,FALSE),"")</f>
        <v/>
      </c>
      <c r="S64" s="204" t="str">
        <f>IFERROR(VLOOKUP('CONVERSOR CodE a EHE-08'!C20,'CÁLCULO TRADUCTOR CodE-EHE'!F$63:G$65,2,FALSE),"")</f>
        <v/>
      </c>
      <c r="T64" s="185"/>
      <c r="U64" s="185"/>
      <c r="V64" s="212"/>
    </row>
    <row r="65" spans="1:22" ht="20.100000000000001" customHeight="1" thickBot="1" x14ac:dyDescent="0.3">
      <c r="E65" s="336"/>
      <c r="F65" s="201" t="s">
        <v>2</v>
      </c>
      <c r="G65" s="220" t="s">
        <v>2</v>
      </c>
      <c r="H65" s="44"/>
      <c r="I65" s="45"/>
      <c r="J65" s="46"/>
      <c r="K65" s="44"/>
      <c r="L65" s="45"/>
      <c r="M65" s="46"/>
      <c r="N65" s="44"/>
      <c r="O65" s="45"/>
      <c r="P65" s="46"/>
      <c r="Q65" s="195" t="str">
        <f>IFERROR(VLOOKUP('CONVERSOR CodE a EHE-08'!C11,'CÁLCULO TRADUCTOR CodE-EHE'!F$63:G$65,2,FALSE),"")</f>
        <v/>
      </c>
      <c r="R65" s="195" t="str">
        <f>IFERROR(VLOOKUP('CONVERSOR CodE a EHE-08'!C16,'CÁLCULO TRADUCTOR CodE-EHE'!F$63:G$65,2,FALSE),"")</f>
        <v/>
      </c>
      <c r="S65" s="206" t="str">
        <f>IFERROR(VLOOKUP('CONVERSOR CodE a EHE-08'!C21,'CÁLCULO TRADUCTOR CodE-EHE'!F$63:G$65,2,FALSE),"")</f>
        <v/>
      </c>
      <c r="T65" s="185"/>
      <c r="U65" s="185"/>
      <c r="V65" s="212"/>
    </row>
    <row r="66" spans="1:22" ht="20.100000000000001" customHeight="1" thickTop="1" thickBot="1" x14ac:dyDescent="0.3">
      <c r="E66" s="334" t="s">
        <v>49</v>
      </c>
      <c r="F66" s="198" t="s">
        <v>61</v>
      </c>
      <c r="G66" s="217" t="s">
        <v>18</v>
      </c>
      <c r="H66" s="49">
        <v>0.5</v>
      </c>
      <c r="I66" s="50">
        <v>300</v>
      </c>
      <c r="J66" s="51">
        <v>30</v>
      </c>
      <c r="K66" s="49">
        <v>0.5</v>
      </c>
      <c r="L66" s="50">
        <v>325</v>
      </c>
      <c r="M66" s="51">
        <v>30</v>
      </c>
      <c r="N66" s="49">
        <v>0.5</v>
      </c>
      <c r="O66" s="50">
        <v>325</v>
      </c>
      <c r="P66" s="51">
        <v>30</v>
      </c>
      <c r="Q66" s="194" t="str">
        <f>IFERROR(VLOOKUP('CONVERSOR CodE a EHE-08'!C9,'CÁLCULO TRADUCTOR CodE-EHE'!F$66:G$68,2,FALSE),"")</f>
        <v/>
      </c>
      <c r="R66" s="194" t="str">
        <f>IFERROR(VLOOKUP('CONVERSOR CodE a EHE-08'!C14,'CÁLCULO TRADUCTOR CodE-EHE'!F$66:G$68,2,FALSE),"")</f>
        <v/>
      </c>
      <c r="S66" s="203" t="str">
        <f>IFERROR(VLOOKUP('CONVERSOR CodE a EHE-08'!C19,'CÁLCULO TRADUCTOR CodE-EHE'!F$66:G$68,2,FALSE),"")</f>
        <v/>
      </c>
      <c r="T66" s="209" t="str">
        <f>IF(Q66="","",IF(T$5=1,Q66,IF(T$5=2,Q67,IF(T$5=3,Q68,""))))</f>
        <v/>
      </c>
      <c r="U66" s="209" t="str">
        <f t="shared" ref="U66:V66" si="19">IF(R66="","",IF(U$5=1,R66,IF(U$5=2,R67,IF(U$5=3,R68,""))))</f>
        <v/>
      </c>
      <c r="V66" s="209" t="str">
        <f t="shared" si="19"/>
        <v/>
      </c>
    </row>
    <row r="67" spans="1:22" ht="20.100000000000001" customHeight="1" thickTop="1" x14ac:dyDescent="0.25">
      <c r="E67" s="335"/>
      <c r="F67" s="199" t="s">
        <v>2</v>
      </c>
      <c r="G67" s="218" t="s">
        <v>2</v>
      </c>
      <c r="H67" s="35"/>
      <c r="I67" s="36"/>
      <c r="J67" s="37"/>
      <c r="K67" s="35"/>
      <c r="L67" s="36"/>
      <c r="M67" s="37"/>
      <c r="N67" s="35"/>
      <c r="O67" s="36"/>
      <c r="P67" s="37"/>
      <c r="Q67" s="191" t="str">
        <f>IFERROR(VLOOKUP('CONVERSOR CodE a EHE-08'!C10,'CÁLCULO TRADUCTOR CodE-EHE'!F$66:G$68,2,FALSE),"")</f>
        <v/>
      </c>
      <c r="R67" s="191" t="str">
        <f>IFERROR(VLOOKUP('CONVERSOR CodE a EHE-08'!C15,'CÁLCULO TRADUCTOR CodE-EHE'!F$66:G$68,2,FALSE),"")</f>
        <v/>
      </c>
      <c r="S67" s="204" t="str">
        <f>IFERROR(VLOOKUP('CONVERSOR CodE a EHE-08'!C20,'CÁLCULO TRADUCTOR CodE-EHE'!F$66:G$68,2,FALSE),"")</f>
        <v/>
      </c>
      <c r="T67" s="185"/>
      <c r="U67" s="185"/>
      <c r="V67" s="212"/>
    </row>
    <row r="68" spans="1:22" ht="20.100000000000001" customHeight="1" thickBot="1" x14ac:dyDescent="0.3">
      <c r="E68" s="336"/>
      <c r="F68" s="201" t="s">
        <v>2</v>
      </c>
      <c r="G68" s="220" t="s">
        <v>2</v>
      </c>
      <c r="H68" s="44"/>
      <c r="I68" s="45"/>
      <c r="J68" s="46"/>
      <c r="K68" s="44"/>
      <c r="L68" s="45"/>
      <c r="M68" s="46"/>
      <c r="N68" s="44"/>
      <c r="O68" s="45"/>
      <c r="P68" s="46"/>
      <c r="Q68" s="195" t="str">
        <f>IFERROR(VLOOKUP('CONVERSOR CodE a EHE-08'!C11,'CÁLCULO TRADUCTOR CodE-EHE'!F$66:G$68,2,FALSE),"")</f>
        <v/>
      </c>
      <c r="R68" s="195" t="str">
        <f>IFERROR(VLOOKUP('CONVERSOR CodE a EHE-08'!C16,'CÁLCULO TRADUCTOR CodE-EHE'!F$66:G$68,2,FALSE),"")</f>
        <v/>
      </c>
      <c r="S68" s="206" t="str">
        <f>IFERROR(VLOOKUP('CONVERSOR CodE a EHE-08'!C21,'CÁLCULO TRADUCTOR CodE-EHE'!F$66:G$68,2,FALSE),"")</f>
        <v/>
      </c>
      <c r="T68" s="213"/>
      <c r="U68" s="213"/>
      <c r="V68" s="214"/>
    </row>
    <row r="69" spans="1:22" ht="20.100000000000001" customHeight="1" thickBot="1" x14ac:dyDescent="0.3">
      <c r="H69" s="190" t="str">
        <f>IFERROR(VLOOKUP(T$69,G$6:H$68,2,FALSE),"")</f>
        <v/>
      </c>
      <c r="I69" s="188" t="str">
        <f>IFERROR(VLOOKUP(T69,G$6:I$68,3,FALSE),"")</f>
        <v/>
      </c>
      <c r="J69" s="189" t="str">
        <f>IFERROR(VLOOKUP(T69,G$6:J$69,4,FALSE),"")</f>
        <v/>
      </c>
      <c r="K69" s="190" t="str">
        <f>IFERROR(VLOOKUP(T69,G$6:K$69,5,FALSE),"")</f>
        <v/>
      </c>
      <c r="L69" s="188" t="str">
        <f>IFERROR(VLOOKUP(T69,G$6:L$69,6,FALSE),"")</f>
        <v/>
      </c>
      <c r="M69" s="189" t="str">
        <f>IFERROR(VLOOKUP(T69,G$6:M$69,7,FALSE),"")</f>
        <v/>
      </c>
      <c r="N69" s="190" t="str">
        <f>IFERROR(VLOOKUP(T$69,G$6:N$69,8,FALSE),"")</f>
        <v/>
      </c>
      <c r="O69" s="188" t="str">
        <f>IFERROR(VLOOKUP(T69,G$6:O$69,9,FALSE),"")</f>
        <v/>
      </c>
      <c r="P69" s="189" t="str">
        <f>IFERROR(VLOOKUP(T69,G$6:P$69,10,FALSE),"")</f>
        <v/>
      </c>
      <c r="T69" s="215" t="str" cm="1">
        <f t="array" ref="T69">IFERROR(LOOKUP(2,1/(T6:T68&lt;&gt;""),T6:T88),"")</f>
        <v/>
      </c>
      <c r="U69" s="215" t="str" cm="1">
        <f t="array" ref="U69">IFERROR(LOOKUP(2,1/(U6:U68&lt;&gt;""),U6:U88),"")</f>
        <v/>
      </c>
      <c r="V69" s="215" t="str" cm="1">
        <f t="array" ref="V69">IFERROR(LOOKUP(2,1/(V6:V68&lt;&gt;""),V6:V88),"")</f>
        <v/>
      </c>
    </row>
    <row r="70" spans="1:22" ht="20.100000000000001" customHeight="1" x14ac:dyDescent="0.25">
      <c r="H70" s="135" t="str">
        <f>IFERROR(VLOOKUP(U$69,G$6:H$68,2,FALSE),"")</f>
        <v/>
      </c>
      <c r="I70" s="136" t="str">
        <f>IFERROR(VLOOKUP(U69,G$6:I$68,3,FALSE),"")</f>
        <v/>
      </c>
      <c r="J70" s="137" t="str">
        <f>IFERROR(VLOOKUP(U69,G$6:J$69,4,FALSE),"")</f>
        <v/>
      </c>
      <c r="K70" s="135" t="str">
        <f>IFERROR(VLOOKUP(U69,G$6:K$69,5,FALSE),"")</f>
        <v/>
      </c>
      <c r="L70" s="136" t="str">
        <f>IFERROR(VLOOKUP(U69,G$6:L$69,6,FALSE),"")</f>
        <v/>
      </c>
      <c r="M70" s="137" t="str">
        <f>IFERROR(VLOOKUP(U69,G$6:M$69,7,FALSE),"")</f>
        <v/>
      </c>
      <c r="N70" s="135" t="str">
        <f>IFERROR(VLOOKUP(U$69,G$6:N$69,8,FALSE),"")</f>
        <v/>
      </c>
      <c r="O70" s="136" t="str">
        <f>IFERROR(VLOOKUP(U69,G$6:O$69,9,FALSE),"")</f>
        <v/>
      </c>
      <c r="P70" s="137" t="str">
        <f>IFERROR(VLOOKUP(U69,G$6:P$69,10,FALSE),"")</f>
        <v/>
      </c>
    </row>
    <row r="71" spans="1:22" ht="20.100000000000001" customHeight="1" thickBot="1" x14ac:dyDescent="0.3">
      <c r="H71" s="139" t="str">
        <f>IFERROR(VLOOKUP(V$69,G$6:H$68,2,FALSE),"")</f>
        <v/>
      </c>
      <c r="I71" s="140" t="str">
        <f>IFERROR(VLOOKUP(V69,G$6:I$68,3,FALSE),"")</f>
        <v/>
      </c>
      <c r="J71" s="141" t="str">
        <f>IFERROR(VLOOKUP(V69,G$6:J$69,4,FALSE),"")</f>
        <v/>
      </c>
      <c r="K71" s="139" t="str">
        <f>IFERROR(VLOOKUP(V69,G$6:K$69,5,FALSE),"")</f>
        <v/>
      </c>
      <c r="L71" s="140" t="str">
        <f>IFERROR(VLOOKUP(V69,G$6:L$69,6,FALSE),"")</f>
        <v/>
      </c>
      <c r="M71" s="141" t="str">
        <f>IFERROR(VLOOKUP(V69,G$6:M$69,7,FALSE),"")</f>
        <v/>
      </c>
      <c r="N71" s="139" t="str">
        <f>IFERROR(VLOOKUP(V$69,G$6:N$69,8,FALSE),"")</f>
        <v/>
      </c>
      <c r="O71" s="140" t="str">
        <f>IFERROR(VLOOKUP(V69,G$6:O$69,9,FALSE),"")</f>
        <v/>
      </c>
      <c r="P71" s="141" t="str">
        <f>IFERROR(VLOOKUP(V69,G$6:P$69,10,FALSE),"")</f>
        <v/>
      </c>
    </row>
    <row r="72" spans="1:22" ht="20.100000000000001" customHeight="1" thickTop="1" x14ac:dyDescent="0.25">
      <c r="H72" s="328" t="s">
        <v>0</v>
      </c>
      <c r="I72" s="329"/>
      <c r="J72" s="330"/>
      <c r="K72" s="328" t="s">
        <v>4</v>
      </c>
      <c r="L72" s="329"/>
      <c r="M72" s="330"/>
      <c r="N72" s="328" t="s">
        <v>5</v>
      </c>
      <c r="O72" s="329"/>
      <c r="P72" s="330"/>
    </row>
    <row r="73" spans="1:22" ht="20.100000000000001" customHeight="1" thickBot="1" x14ac:dyDescent="0.3">
      <c r="H73" s="16" t="s">
        <v>57</v>
      </c>
      <c r="I73" s="17" t="s">
        <v>58</v>
      </c>
      <c r="J73" s="18" t="s">
        <v>62</v>
      </c>
      <c r="K73" s="16" t="s">
        <v>57</v>
      </c>
      <c r="L73" s="17" t="s">
        <v>58</v>
      </c>
      <c r="M73" s="18" t="s">
        <v>62</v>
      </c>
      <c r="N73" s="16" t="s">
        <v>57</v>
      </c>
      <c r="O73" s="17" t="s">
        <v>58</v>
      </c>
      <c r="P73" s="18" t="s">
        <v>62</v>
      </c>
    </row>
    <row r="74" spans="1:22" ht="20.100000000000001" customHeight="1" thickBot="1" x14ac:dyDescent="0.3">
      <c r="H74" s="143">
        <f>IFERROR(MIN(H69:H71),"")</f>
        <v>0</v>
      </c>
      <c r="I74" s="144">
        <f>IFERROR(MAX(I69:I71),"")</f>
        <v>0</v>
      </c>
      <c r="J74" s="145">
        <f>IFERROR(MAX(J69:J71),"")</f>
        <v>0</v>
      </c>
      <c r="K74" s="143">
        <f>IFERROR(MIN(K69:K71),"")</f>
        <v>0</v>
      </c>
      <c r="L74" s="144">
        <f>IFERROR(MAX(L69:L71),"")</f>
        <v>0</v>
      </c>
      <c r="M74" s="145">
        <f>IFERROR(MAX(M69:M71),"")</f>
        <v>0</v>
      </c>
      <c r="N74" s="143">
        <f>IFERROR(MIN(N69:N71),"")</f>
        <v>0</v>
      </c>
      <c r="O74" s="144">
        <f>IFERROR(MAX(O69:O71),"")</f>
        <v>0</v>
      </c>
      <c r="P74" s="145">
        <f>IFERROR(MAX(P69:P71),"")</f>
        <v>0</v>
      </c>
    </row>
    <row r="75" spans="1:22" ht="20.25" thickTop="1" thickBot="1" x14ac:dyDescent="0.3">
      <c r="E75"/>
      <c r="H75" s="143" t="e">
        <f>IF(H74=0,SMALL(H69:H71,2),0)</f>
        <v>#NUM!</v>
      </c>
      <c r="I75" s="144"/>
      <c r="J75" s="145"/>
      <c r="K75" s="143"/>
      <c r="L75" s="144"/>
      <c r="M75" s="145"/>
      <c r="N75" s="143"/>
      <c r="O75" s="144"/>
      <c r="P75" s="145"/>
    </row>
    <row r="76" spans="1:22" ht="20.25" thickTop="1" thickBot="1" x14ac:dyDescent="0.3">
      <c r="E76"/>
      <c r="H76" s="143" t="e">
        <f>IF(H75=0,SMALL(H69:H71,3))</f>
        <v>#NUM!</v>
      </c>
      <c r="I76" s="144"/>
      <c r="J76" s="145"/>
      <c r="K76" s="143"/>
      <c r="L76" s="144"/>
      <c r="M76" s="145"/>
      <c r="N76" s="143"/>
      <c r="O76" s="144"/>
      <c r="P76" s="145"/>
    </row>
    <row r="77" spans="1:22" ht="15.75" thickTop="1" x14ac:dyDescent="0.25">
      <c r="A77" s="147" t="s">
        <v>23</v>
      </c>
      <c r="B77" s="186" t="s">
        <v>63</v>
      </c>
      <c r="C77" s="187"/>
      <c r="D77" s="187"/>
      <c r="E77"/>
      <c r="H77" s="4"/>
      <c r="I77" s="4"/>
      <c r="J77" s="4"/>
      <c r="K77" s="4"/>
      <c r="L77" s="4"/>
      <c r="M77" s="4"/>
      <c r="N77" s="4"/>
      <c r="O77" s="4"/>
      <c r="P77" s="4"/>
    </row>
    <row r="78" spans="1:22" x14ac:dyDescent="0.25">
      <c r="A78" s="147" t="s">
        <v>24</v>
      </c>
      <c r="B78" s="186" t="s">
        <v>64</v>
      </c>
      <c r="C78" s="187"/>
      <c r="D78" s="187"/>
      <c r="E78"/>
    </row>
    <row r="79" spans="1:22" x14ac:dyDescent="0.25">
      <c r="A79" s="147" t="s">
        <v>25</v>
      </c>
      <c r="B79" s="186" t="s">
        <v>64</v>
      </c>
      <c r="C79" s="187"/>
      <c r="D79" s="187"/>
      <c r="E79"/>
    </row>
    <row r="80" spans="1:22" x14ac:dyDescent="0.25">
      <c r="A80" s="147" t="s">
        <v>27</v>
      </c>
      <c r="B80" s="186" t="s">
        <v>64</v>
      </c>
      <c r="C80" s="187"/>
      <c r="D80" s="187"/>
      <c r="E80"/>
    </row>
    <row r="81" spans="1:5" x14ac:dyDescent="0.25">
      <c r="A81" s="147" t="s">
        <v>28</v>
      </c>
      <c r="B81" s="186" t="s">
        <v>64</v>
      </c>
      <c r="C81" s="187"/>
      <c r="D81" s="187"/>
      <c r="E81"/>
    </row>
    <row r="82" spans="1:5" x14ac:dyDescent="0.25">
      <c r="A82" s="147" t="s">
        <v>34</v>
      </c>
      <c r="B82" s="186" t="s">
        <v>68</v>
      </c>
      <c r="C82" s="187"/>
      <c r="D82" s="187"/>
      <c r="E82"/>
    </row>
    <row r="83" spans="1:5" x14ac:dyDescent="0.25">
      <c r="A83" s="147" t="s">
        <v>36</v>
      </c>
      <c r="B83" s="186" t="s">
        <v>68</v>
      </c>
      <c r="C83" s="187"/>
      <c r="D83" s="187"/>
      <c r="E83"/>
    </row>
    <row r="84" spans="1:5" x14ac:dyDescent="0.25">
      <c r="A84" s="147" t="s">
        <v>38</v>
      </c>
      <c r="B84" s="186" t="s">
        <v>68</v>
      </c>
      <c r="C84" s="187"/>
      <c r="D84" s="187"/>
      <c r="E84"/>
    </row>
    <row r="85" spans="1:5" x14ac:dyDescent="0.25">
      <c r="A85" s="147" t="s">
        <v>30</v>
      </c>
      <c r="B85" s="186" t="s">
        <v>65</v>
      </c>
      <c r="C85" s="187"/>
      <c r="D85" s="187"/>
      <c r="E85"/>
    </row>
    <row r="86" spans="1:5" x14ac:dyDescent="0.25">
      <c r="A86" s="147" t="s">
        <v>32</v>
      </c>
      <c r="B86" s="186" t="s">
        <v>65</v>
      </c>
      <c r="C86" s="187"/>
      <c r="D86" s="187"/>
      <c r="E86"/>
    </row>
    <row r="87" spans="1:5" x14ac:dyDescent="0.25">
      <c r="A87" s="147" t="s">
        <v>33</v>
      </c>
      <c r="B87" s="186" t="s">
        <v>65</v>
      </c>
      <c r="C87" s="187"/>
      <c r="D87" s="187"/>
      <c r="E87"/>
    </row>
    <row r="88" spans="1:5" x14ac:dyDescent="0.25">
      <c r="A88" s="147" t="s">
        <v>44</v>
      </c>
      <c r="B88" s="186" t="s">
        <v>66</v>
      </c>
      <c r="C88" s="187"/>
      <c r="D88" s="187"/>
      <c r="E88"/>
    </row>
    <row r="89" spans="1:5" x14ac:dyDescent="0.25">
      <c r="A89" s="147" t="s">
        <v>45</v>
      </c>
      <c r="B89" s="186" t="s">
        <v>66</v>
      </c>
      <c r="C89" s="187"/>
      <c r="D89" s="187"/>
      <c r="E89"/>
    </row>
    <row r="90" spans="1:5" x14ac:dyDescent="0.25">
      <c r="A90" s="147" t="s">
        <v>46</v>
      </c>
      <c r="B90" s="186" t="s">
        <v>66</v>
      </c>
      <c r="C90" s="187"/>
      <c r="D90" s="187"/>
      <c r="E90"/>
    </row>
    <row r="91" spans="1:5" x14ac:dyDescent="0.25">
      <c r="A91" s="147" t="s">
        <v>40</v>
      </c>
      <c r="B91" s="186" t="s">
        <v>69</v>
      </c>
      <c r="C91" s="187"/>
      <c r="D91" s="187"/>
      <c r="E91"/>
    </row>
    <row r="92" spans="1:5" x14ac:dyDescent="0.25">
      <c r="A92" s="147" t="s">
        <v>41</v>
      </c>
      <c r="B92" s="186" t="s">
        <v>69</v>
      </c>
      <c r="C92" s="187"/>
      <c r="D92" s="187"/>
      <c r="E92"/>
    </row>
    <row r="93" spans="1:5" x14ac:dyDescent="0.25">
      <c r="A93" s="147" t="s">
        <v>42</v>
      </c>
      <c r="B93" s="186" t="s">
        <v>69</v>
      </c>
      <c r="C93" s="187"/>
      <c r="D93" s="187"/>
    </row>
    <row r="94" spans="1:5" x14ac:dyDescent="0.25">
      <c r="A94" s="147" t="s">
        <v>43</v>
      </c>
      <c r="B94" s="186" t="s">
        <v>69</v>
      </c>
      <c r="C94" s="187"/>
      <c r="D94" s="187"/>
    </row>
    <row r="95" spans="1:5" x14ac:dyDescent="0.25">
      <c r="A95" s="147" t="s">
        <v>47</v>
      </c>
      <c r="B95" s="186" t="s">
        <v>70</v>
      </c>
      <c r="C95" s="187"/>
      <c r="D95" s="187"/>
    </row>
    <row r="96" spans="1:5" x14ac:dyDescent="0.25">
      <c r="A96" s="147" t="s">
        <v>48</v>
      </c>
      <c r="B96" s="186" t="s">
        <v>70</v>
      </c>
      <c r="C96" s="187"/>
      <c r="D96" s="187"/>
    </row>
    <row r="97" spans="1:4" x14ac:dyDescent="0.25">
      <c r="A97" s="147" t="s">
        <v>49</v>
      </c>
      <c r="B97" s="186" t="s">
        <v>70</v>
      </c>
      <c r="C97" s="187"/>
      <c r="D97" s="187"/>
    </row>
    <row r="99" spans="1:4" ht="15.75" thickBot="1" x14ac:dyDescent="0.3"/>
    <row r="100" spans="1:4" x14ac:dyDescent="0.25">
      <c r="A100" s="151" t="s">
        <v>85</v>
      </c>
      <c r="B100" s="153"/>
    </row>
    <row r="101" spans="1:4" x14ac:dyDescent="0.25">
      <c r="A101" s="154" t="s">
        <v>87</v>
      </c>
      <c r="B101" s="155"/>
      <c r="C101" s="150"/>
    </row>
    <row r="102" spans="1:4" x14ac:dyDescent="0.25">
      <c r="A102" s="156" t="s">
        <v>133</v>
      </c>
      <c r="B102" s="157" t="str">
        <f>'CONVERSOR CodE a EHE-08'!D5</f>
        <v>-</v>
      </c>
    </row>
    <row r="103" spans="1:4" x14ac:dyDescent="0.25">
      <c r="A103" s="158" t="s">
        <v>134</v>
      </c>
      <c r="B103" s="159" t="str">
        <f>IF('CONVERSOR CodE a EHE-08'!M5="HA",'CÁLCULO TRADUCTOR CodE-EHE'!M74,IF('CONVERSOR CodE a EHE-08'!M5="HM",'CÁLCULO TRADUCTOR CodE-EHE'!J74,IF('CONVERSOR CodE a EHE-08'!M5="HP",'CÁLCULO TRADUCTOR CodE-EHE'!P74,"")))</f>
        <v/>
      </c>
    </row>
    <row r="104" spans="1:4" x14ac:dyDescent="0.25">
      <c r="A104" s="156" t="s">
        <v>88</v>
      </c>
      <c r="B104" s="157">
        <f>MAX(B102:B103)</f>
        <v>0</v>
      </c>
    </row>
    <row r="105" spans="1:4" x14ac:dyDescent="0.25">
      <c r="A105" s="156"/>
      <c r="B105" s="157"/>
    </row>
    <row r="106" spans="1:4" x14ac:dyDescent="0.25">
      <c r="A106" s="154" t="s">
        <v>92</v>
      </c>
      <c r="B106" s="155"/>
      <c r="C106" s="150"/>
    </row>
    <row r="107" spans="1:4" x14ac:dyDescent="0.25">
      <c r="A107" s="156" t="s">
        <v>130</v>
      </c>
      <c r="B107" s="157" t="str">
        <f>MID('CONVERSOR CodE a EHE-08'!G5,1,2)</f>
        <v>-</v>
      </c>
      <c r="C107" s="4" t="str">
        <f>IF(B107="X0","XC",B107)</f>
        <v>-</v>
      </c>
    </row>
    <row r="108" spans="1:4" x14ac:dyDescent="0.25">
      <c r="A108" s="158" t="s">
        <v>131</v>
      </c>
      <c r="B108" s="159" t="str">
        <f>MID('CONVERSOR CodE a EHE-08'!I5,1,2)</f>
        <v>-</v>
      </c>
      <c r="C108" s="4" t="str">
        <f t="shared" ref="C108:C109" si="20">IF(B108="X0","XC",B108)</f>
        <v>-</v>
      </c>
    </row>
    <row r="109" spans="1:4" x14ac:dyDescent="0.25">
      <c r="A109" s="156" t="s">
        <v>132</v>
      </c>
      <c r="B109" s="157" t="str">
        <f>MID('CONVERSOR CodE a EHE-08'!K5,1,2)</f>
        <v>-</v>
      </c>
      <c r="C109" s="4" t="str">
        <f t="shared" si="20"/>
        <v>-</v>
      </c>
    </row>
    <row r="110" spans="1:4" ht="15.75" thickBot="1" x14ac:dyDescent="0.3">
      <c r="A110" s="160" t="s">
        <v>95</v>
      </c>
      <c r="B110" s="162" t="b">
        <f>AND(OR(B107=B108,B108=B109,B107=B109),B107&lt;&gt;"",B107&lt;&gt;"-",B108&lt;&gt;"",B108&lt;&gt;"-",B109&lt;&gt;"",B109&lt;&gt;"-")</f>
        <v>0</v>
      </c>
      <c r="C110" t="b">
        <f>AND(OR(C107=C108,C108=C109,C107=C109),C107&lt;&gt;"",C107&lt;&gt;"-",C108&lt;&gt;"",C108&lt;&gt;"-",C109&lt;&gt;"",C109&lt;&gt;"-")</f>
        <v>0</v>
      </c>
    </row>
  </sheetData>
  <mergeCells count="27">
    <mergeCell ref="H4:J4"/>
    <mergeCell ref="K4:M4"/>
    <mergeCell ref="N4:P4"/>
    <mergeCell ref="N72:P72"/>
    <mergeCell ref="H72:J72"/>
    <mergeCell ref="K72:M72"/>
    <mergeCell ref="E57:E59"/>
    <mergeCell ref="E48:E50"/>
    <mergeCell ref="E51:E53"/>
    <mergeCell ref="E45:E47"/>
    <mergeCell ref="E6:E8"/>
    <mergeCell ref="E66:E6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60:E62"/>
    <mergeCell ref="E63:E65"/>
    <mergeCell ref="E54:E56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584F-5BB7-4CA1-91F4-2C3DC8D42059}">
  <sheetPr codeName="Hoja6">
    <tabColor theme="8"/>
  </sheetPr>
  <dimension ref="B3:T28"/>
  <sheetViews>
    <sheetView workbookViewId="0">
      <selection activeCell="E26" sqref="E26"/>
    </sheetView>
  </sheetViews>
  <sheetFormatPr baseColWidth="10" defaultRowHeight="15" x14ac:dyDescent="0.25"/>
  <cols>
    <col min="1" max="1" width="15.140625" customWidth="1"/>
    <col min="2" max="2" width="5.85546875" customWidth="1"/>
    <col min="3" max="4" width="7.42578125" customWidth="1"/>
    <col min="5" max="5" width="72.85546875" bestFit="1" customWidth="1"/>
    <col min="6" max="8" width="28" bestFit="1" customWidth="1"/>
    <col min="9" max="9" width="11.7109375" bestFit="1" customWidth="1"/>
    <col min="10" max="10" width="2.7109375" customWidth="1"/>
    <col min="12" max="12" width="2.7109375" customWidth="1"/>
  </cols>
  <sheetData>
    <row r="3" spans="2:20" x14ac:dyDescent="0.25">
      <c r="E3" s="350" t="s">
        <v>144</v>
      </c>
      <c r="F3" s="350"/>
      <c r="G3" s="350"/>
      <c r="H3" s="350"/>
      <c r="I3" s="350"/>
      <c r="J3" s="350"/>
      <c r="K3" s="350"/>
      <c r="L3" s="350"/>
      <c r="M3" s="350"/>
    </row>
    <row r="4" spans="2:20" x14ac:dyDescent="0.25">
      <c r="E4" s="350"/>
      <c r="F4" s="350"/>
      <c r="G4" s="350"/>
      <c r="H4" s="350"/>
      <c r="I4" s="350"/>
      <c r="J4" s="350"/>
      <c r="K4" s="350"/>
      <c r="L4" s="350"/>
      <c r="M4" s="350"/>
      <c r="T4" s="175" t="s">
        <v>120</v>
      </c>
    </row>
    <row r="5" spans="2:20" ht="15.75" thickBot="1" x14ac:dyDescent="0.3">
      <c r="T5" s="175" t="s">
        <v>121</v>
      </c>
    </row>
    <row r="6" spans="2:20" ht="18.75" x14ac:dyDescent="0.3">
      <c r="E6" s="285" t="s">
        <v>71</v>
      </c>
      <c r="F6" s="286"/>
      <c r="G6" s="286"/>
      <c r="H6" s="286"/>
      <c r="I6" s="286"/>
      <c r="J6" s="286"/>
      <c r="K6" s="286"/>
      <c r="L6" s="286"/>
      <c r="M6" s="287"/>
    </row>
    <row r="7" spans="2:20" ht="18.75" customHeight="1" x14ac:dyDescent="0.25">
      <c r="E7" s="163" t="s">
        <v>72</v>
      </c>
      <c r="F7" s="164" t="s">
        <v>22</v>
      </c>
      <c r="G7" s="164" t="s">
        <v>73</v>
      </c>
      <c r="H7" s="164" t="s">
        <v>74</v>
      </c>
      <c r="I7" s="297" t="s">
        <v>96</v>
      </c>
      <c r="J7" s="298"/>
      <c r="K7" s="298"/>
      <c r="L7" s="298"/>
      <c r="M7" s="299"/>
    </row>
    <row r="8" spans="2:20" ht="19.5" thickBot="1" x14ac:dyDescent="0.3">
      <c r="E8" s="5" t="str">
        <f>'CONVERSOR EHE-08 a CodE'!M5</f>
        <v>HA</v>
      </c>
      <c r="F8" s="6">
        <f>'CONVERSOR EHE-08 a CodE'!N5</f>
        <v>25</v>
      </c>
      <c r="G8" s="6" t="str">
        <f>'CONVERSOR EHE-08 a CodE'!O5</f>
        <v>B</v>
      </c>
      <c r="H8" s="6">
        <f>'CONVERSOR EHE-08 a CodE'!P5</f>
        <v>12</v>
      </c>
      <c r="I8" s="6" t="str">
        <f>'CONVERSOR EHE-08 a CodE'!Q5</f>
        <v>XC2</v>
      </c>
      <c r="J8" s="7" t="str">
        <f>'CONVERSOR EHE-08 a CodE'!R5</f>
        <v/>
      </c>
      <c r="K8" s="8" t="str">
        <f>'CONVERSOR EHE-08 a CodE'!S5</f>
        <v/>
      </c>
      <c r="L8" s="7" t="str">
        <f>'CONVERSOR EHE-08 a CodE'!T5</f>
        <v/>
      </c>
      <c r="M8" s="8" t="str">
        <f>'CONVERSOR EHE-08 a CodE'!U5</f>
        <v/>
      </c>
    </row>
    <row r="11" spans="2:20" ht="15" customHeight="1" x14ac:dyDescent="0.25">
      <c r="E11" s="351" t="s">
        <v>108</v>
      </c>
      <c r="F11" s="339" t="s">
        <v>98</v>
      </c>
      <c r="G11" s="339"/>
      <c r="H11" s="339"/>
      <c r="I11" s="340" t="s">
        <v>99</v>
      </c>
      <c r="J11" s="341" t="s">
        <v>109</v>
      </c>
      <c r="K11" s="342"/>
      <c r="L11" s="346"/>
      <c r="M11" s="292"/>
    </row>
    <row r="12" spans="2:20" ht="24" customHeight="1" x14ac:dyDescent="0.25">
      <c r="E12" s="351"/>
      <c r="F12" s="222" t="s">
        <v>100</v>
      </c>
      <c r="G12" s="222" t="s">
        <v>101</v>
      </c>
      <c r="H12" s="222" t="s">
        <v>102</v>
      </c>
      <c r="I12" s="340"/>
      <c r="J12" s="347" t="s">
        <v>110</v>
      </c>
      <c r="K12" s="348"/>
      <c r="L12" s="346"/>
      <c r="M12" s="292"/>
    </row>
    <row r="13" spans="2:20" x14ac:dyDescent="0.25">
      <c r="B13" s="172" t="str">
        <f>E8</f>
        <v>HA</v>
      </c>
      <c r="C13" s="172" t="str">
        <f>I8</f>
        <v>XC2</v>
      </c>
      <c r="D13" s="172" t="str">
        <f>B13&amp;C13</f>
        <v>HAXC2</v>
      </c>
      <c r="E13" s="172">
        <f>IFERROR(VLOOKUP(D13,'Prescripciones generales'!D$8:J$60,2,FALSE),"")</f>
        <v>0</v>
      </c>
      <c r="F13" s="172">
        <f>IFERROR(VLOOKUP(D13,'Prescripciones generales'!D$8:J$60,3,FALSE),"")</f>
        <v>0</v>
      </c>
      <c r="G13" s="172">
        <f>IFERROR(VLOOKUP(D13,'Prescripciones generales'!D$8:J$60,4,FALSE),"")</f>
        <v>0</v>
      </c>
      <c r="H13" s="172">
        <f>IFERROR(VLOOKUP(D13,'Prescripciones generales'!D$8:J$60,5,FALSE),"")</f>
        <v>0</v>
      </c>
      <c r="I13" s="172">
        <f>IFERROR(VLOOKUP(D13,'Prescripciones generales'!D$8:J$60,6,FALSE),"")</f>
        <v>0</v>
      </c>
      <c r="J13" s="344">
        <f>IFERROR(VLOOKUP(D13,'Prescripciones generales'!D$8:J$60,7,FALSE),"")</f>
        <v>0.4</v>
      </c>
      <c r="K13" s="345"/>
    </row>
    <row r="14" spans="2:20" x14ac:dyDescent="0.25">
      <c r="B14" s="172" t="str">
        <f>E8</f>
        <v>HA</v>
      </c>
      <c r="C14" s="172" t="str">
        <f>K8</f>
        <v/>
      </c>
      <c r="D14" s="172" t="str">
        <f t="shared" ref="D14:D15" si="0">B14&amp;C14</f>
        <v>HA</v>
      </c>
      <c r="E14" s="172" t="str">
        <f>IFERROR(VLOOKUP(D14,'Prescripciones generales'!D$8:J$60,2,FALSE),"")</f>
        <v/>
      </c>
      <c r="F14" s="172" t="str">
        <f>IFERROR(VLOOKUP(D14,'Prescripciones generales'!D$8:J$60,3,FALSE),"")</f>
        <v/>
      </c>
      <c r="G14" s="172" t="str">
        <f>IFERROR(VLOOKUP(D14,'Prescripciones generales'!D$8:J$60,4,FALSE),"")</f>
        <v/>
      </c>
      <c r="H14" s="172" t="str">
        <f>IFERROR(VLOOKUP(D14,'Prescripciones generales'!D$8:J$60,5,FALSE),"")</f>
        <v/>
      </c>
      <c r="I14" s="172" t="str">
        <f>IFERROR(VLOOKUP(D14,'Prescripciones generales'!D$8:J$60,6,FALSE),"")</f>
        <v/>
      </c>
      <c r="J14" s="344" t="str">
        <f>IFERROR(VLOOKUP(D14,'Prescripciones generales'!D$8:J$60,7,FALSE),"")</f>
        <v/>
      </c>
      <c r="K14" s="345"/>
    </row>
    <row r="15" spans="2:20" x14ac:dyDescent="0.25">
      <c r="B15" s="172" t="str">
        <f>E8</f>
        <v>HA</v>
      </c>
      <c r="C15" s="172" t="str">
        <f>M8</f>
        <v/>
      </c>
      <c r="D15" s="172" t="str">
        <f t="shared" si="0"/>
        <v>HA</v>
      </c>
      <c r="E15" s="172" t="str">
        <f>IFERROR(VLOOKUP(D15,'Prescripciones generales'!D$8:J$60,2,FALSE),"")</f>
        <v/>
      </c>
      <c r="F15" s="172" t="str">
        <f>IFERROR(VLOOKUP(D15,'Prescripciones generales'!D$8:J$60,3,FALSE),"")</f>
        <v/>
      </c>
      <c r="G15" s="172" t="str">
        <f>IFERROR(VLOOKUP(D15,'Prescripciones generales'!D$8:J$60,4,FALSE),"")</f>
        <v/>
      </c>
      <c r="H15" s="172" t="str">
        <f>IFERROR(VLOOKUP(D15,'Prescripciones generales'!D$8:J$60,5,FALSE),"")</f>
        <v/>
      </c>
      <c r="I15" s="172" t="str">
        <f>IFERROR(VLOOKUP(D15,'Prescripciones generales'!D$8:J$60,6,FALSE),"")</f>
        <v/>
      </c>
      <c r="J15" s="344" t="str">
        <f>IFERROR(VLOOKUP(D15,'Prescripciones generales'!D$8:J$60,7,FALSE),"")</f>
        <v/>
      </c>
      <c r="K15" s="345"/>
    </row>
    <row r="16" spans="2:20" x14ac:dyDescent="0.25">
      <c r="I16" s="4"/>
    </row>
    <row r="17" spans="5:13" x14ac:dyDescent="0.25">
      <c r="E17" s="172">
        <f>IF(E13="",0,IF(E13=0,0,IF(E13="MR",1,IF(E13="SR o SRC (si es por presencia de sulfatos Tabla 27.1.b)",2,0))))</f>
        <v>0</v>
      </c>
      <c r="F17" s="176" t="str">
        <f>IF(F13=0,"",IF(F13="≤ 50",50,IF(F13="≤ 30",30,"")))</f>
        <v/>
      </c>
      <c r="G17" s="176" t="str">
        <f>IF(G13=0,"",IF(G13="≤ 30",30,IF(G13="≤ 20",20,"")))</f>
        <v/>
      </c>
      <c r="H17" s="176" t="str">
        <f>IF(H13=0,"",IF(H13="≥4,50",4.5,""))</f>
        <v/>
      </c>
      <c r="I17" s="176"/>
      <c r="J17" s="343">
        <f>IF(J13="","",J13)</f>
        <v>0.4</v>
      </c>
      <c r="K17" s="343"/>
    </row>
    <row r="18" spans="5:13" x14ac:dyDescent="0.25">
      <c r="E18" s="172">
        <f t="shared" ref="E18:E19" si="1">IF(E14="",0,IF(E14=0,0,IF(E14="MR",1,IF(E14="SR o SRC (si es por presencia de sulfatos Tabla 27.1.b)",2,0))))</f>
        <v>0</v>
      </c>
      <c r="F18" s="176" t="str">
        <f t="shared" ref="F18:F19" si="2">IF(F14=0,"",IF(F14="≤ 50",50,IF(F14="≤ 30",30,"")))</f>
        <v/>
      </c>
      <c r="G18" s="176" t="str">
        <f t="shared" ref="G18:G19" si="3">IF(G14=0,"",IF(G14="≤ 30",30,IF(G14="≤ 20",20,"")))</f>
        <v/>
      </c>
      <c r="H18" s="176" t="str">
        <f t="shared" ref="H18:H19" si="4">IF(H14=0,"",IF(H14="≥4,50",4.5,""))</f>
        <v/>
      </c>
      <c r="I18" s="176"/>
      <c r="J18" s="343" t="str">
        <f t="shared" ref="J18:J19" si="5">IF(J14="","",J14)</f>
        <v/>
      </c>
      <c r="K18" s="343"/>
    </row>
    <row r="19" spans="5:13" x14ac:dyDescent="0.25">
      <c r="E19" s="172">
        <f t="shared" si="1"/>
        <v>0</v>
      </c>
      <c r="F19" s="176" t="str">
        <f t="shared" si="2"/>
        <v/>
      </c>
      <c r="G19" s="176" t="str">
        <f t="shared" si="3"/>
        <v/>
      </c>
      <c r="H19" s="176" t="str">
        <f t="shared" si="4"/>
        <v/>
      </c>
      <c r="I19" s="176"/>
      <c r="J19" s="343" t="str">
        <f t="shared" si="5"/>
        <v/>
      </c>
      <c r="K19" s="343"/>
    </row>
    <row r="20" spans="5:13" x14ac:dyDescent="0.25">
      <c r="E20" s="148"/>
      <c r="F20" s="177">
        <f>MIN(F17:F19)</f>
        <v>0</v>
      </c>
      <c r="G20" s="177">
        <f>MIN(G17:G19)</f>
        <v>0</v>
      </c>
      <c r="H20" s="177">
        <f>MAX(H17:H19)</f>
        <v>0</v>
      </c>
      <c r="I20" s="178"/>
      <c r="J20" s="349">
        <f>MIN(J17:J19)</f>
        <v>0.4</v>
      </c>
      <c r="K20" s="349"/>
    </row>
    <row r="21" spans="5:13" x14ac:dyDescent="0.25">
      <c r="E21" s="148"/>
      <c r="F21" s="172" t="str">
        <f>IF(F20=0,"",IF(F20=50,"≤ 50",IF(F20=30,"≤ 30")))</f>
        <v/>
      </c>
      <c r="G21" s="172" t="str">
        <f>IF(G20=0,"",IF(G20=30,"≤ 30",IF(G20=20,"≤ 20")))</f>
        <v/>
      </c>
      <c r="H21" s="172" t="str">
        <f>IF(H20="","",IF(H20=4.5,"≥ 4,50",""))</f>
        <v/>
      </c>
      <c r="I21" s="172" t="str" cm="1">
        <f t="array" ref="I21">IF(I13="SI","SI",IF(I14="SI","SI",IF(I15="SI",SI,"")))</f>
        <v/>
      </c>
      <c r="J21" s="344"/>
      <c r="K21" s="345"/>
    </row>
    <row r="23" spans="5:13" ht="15" customHeight="1" x14ac:dyDescent="0.25">
      <c r="E23" s="222" t="s">
        <v>108</v>
      </c>
      <c r="F23" s="339" t="s">
        <v>98</v>
      </c>
      <c r="G23" s="339"/>
      <c r="H23" s="339"/>
      <c r="I23" s="340" t="s">
        <v>99</v>
      </c>
      <c r="J23" s="341" t="s">
        <v>109</v>
      </c>
      <c r="K23" s="342"/>
      <c r="L23" s="346"/>
      <c r="M23" s="292"/>
    </row>
    <row r="24" spans="5:13" ht="21.75" customHeight="1" x14ac:dyDescent="0.25">
      <c r="E24" s="222" t="s">
        <v>119</v>
      </c>
      <c r="F24" s="222" t="s">
        <v>100</v>
      </c>
      <c r="G24" s="222" t="s">
        <v>101</v>
      </c>
      <c r="H24" s="222" t="s">
        <v>123</v>
      </c>
      <c r="I24" s="340"/>
      <c r="J24" s="347" t="s">
        <v>110</v>
      </c>
      <c r="K24" s="348"/>
      <c r="L24" s="346"/>
      <c r="M24" s="292"/>
    </row>
    <row r="25" spans="5:13" x14ac:dyDescent="0.25">
      <c r="E25" s="179" t="str">
        <f>IF(OR(E13="MR",E14="MR",E15="MR"),"SI",IF(OR(E13="MRMAR",E14="MRMAR",E15="MRMAR"),"SI*","-"))</f>
        <v>-</v>
      </c>
      <c r="F25" s="343" t="str">
        <f>IF(OR(F21="",F21=0),"-",F21)</f>
        <v>-</v>
      </c>
      <c r="G25" s="343" t="str">
        <f>IF(OR(G21="",G21=0),"-",G21)</f>
        <v>-</v>
      </c>
      <c r="H25" s="343" t="str">
        <f>IF(OR(H21="",H21=0),"-",H21)</f>
        <v>-</v>
      </c>
      <c r="I25" s="343" t="str">
        <f>IF(I21="SI","SI","No requiere")</f>
        <v>No requiere</v>
      </c>
      <c r="J25" s="343">
        <f>IF(J20=0,"-",J20)</f>
        <v>0.4</v>
      </c>
      <c r="K25" s="343"/>
    </row>
    <row r="26" spans="5:13" x14ac:dyDescent="0.25">
      <c r="E26" s="180" t="str">
        <f>IF(OR(E13="SR o SRC",E14="SR o SRC",E15="SR o SRC"),"Tabla 27.1.b","-")</f>
        <v>-</v>
      </c>
      <c r="F26" s="343"/>
      <c r="G26" s="343"/>
      <c r="H26" s="343"/>
      <c r="I26" s="343"/>
      <c r="J26" s="343"/>
      <c r="K26" s="343"/>
    </row>
    <row r="28" spans="5:13" x14ac:dyDescent="0.25">
      <c r="H28" s="175" t="s">
        <v>120</v>
      </c>
    </row>
  </sheetData>
  <mergeCells count="27">
    <mergeCell ref="E3:M4"/>
    <mergeCell ref="E6:M6"/>
    <mergeCell ref="I7:M7"/>
    <mergeCell ref="E11:E12"/>
    <mergeCell ref="F11:H11"/>
    <mergeCell ref="I11:I12"/>
    <mergeCell ref="J11:K11"/>
    <mergeCell ref="J12:K12"/>
    <mergeCell ref="J13:K13"/>
    <mergeCell ref="J14:K14"/>
    <mergeCell ref="J15:K15"/>
    <mergeCell ref="L11:M12"/>
    <mergeCell ref="L23:M24"/>
    <mergeCell ref="J24:K24"/>
    <mergeCell ref="J17:K17"/>
    <mergeCell ref="J18:K18"/>
    <mergeCell ref="J19:K19"/>
    <mergeCell ref="J20:K20"/>
    <mergeCell ref="J21:K21"/>
    <mergeCell ref="F23:H23"/>
    <mergeCell ref="I23:I24"/>
    <mergeCell ref="J23:K23"/>
    <mergeCell ref="F25:F26"/>
    <mergeCell ref="G25:G26"/>
    <mergeCell ref="H25:H26"/>
    <mergeCell ref="I25:I26"/>
    <mergeCell ref="J25:K26"/>
  </mergeCells>
  <conditionalFormatting sqref="F8">
    <cfRule type="expression" dxfId="1" priority="1">
      <formula xml:space="preserve"> $Q$6&gt;$G$6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8BB9-63EB-435D-B498-2A1CAA80F229}">
  <sheetPr codeName="Hoja7">
    <tabColor theme="9"/>
  </sheetPr>
  <dimension ref="B3:T26"/>
  <sheetViews>
    <sheetView workbookViewId="0">
      <selection activeCell="I8" sqref="I8"/>
    </sheetView>
  </sheetViews>
  <sheetFormatPr baseColWidth="10" defaultRowHeight="15" x14ac:dyDescent="0.25"/>
  <cols>
    <col min="1" max="1" width="15.140625" customWidth="1"/>
    <col min="2" max="2" width="5.85546875" customWidth="1"/>
    <col min="3" max="4" width="7.42578125" customWidth="1"/>
    <col min="5" max="5" width="72.85546875" bestFit="1" customWidth="1"/>
    <col min="6" max="8" width="28" bestFit="1" customWidth="1"/>
    <col min="9" max="9" width="11.7109375" bestFit="1" customWidth="1"/>
    <col min="10" max="10" width="2.7109375" customWidth="1"/>
    <col min="12" max="12" width="2.7109375" customWidth="1"/>
  </cols>
  <sheetData>
    <row r="3" spans="2:20" x14ac:dyDescent="0.25">
      <c r="E3" s="350" t="s">
        <v>135</v>
      </c>
      <c r="F3" s="350"/>
      <c r="G3" s="350"/>
      <c r="H3" s="350"/>
      <c r="I3" s="350"/>
      <c r="J3" s="350"/>
      <c r="K3" s="350"/>
      <c r="L3" s="350"/>
      <c r="M3" s="350"/>
    </row>
    <row r="4" spans="2:20" x14ac:dyDescent="0.25">
      <c r="E4" s="350"/>
      <c r="F4" s="350"/>
      <c r="G4" s="350"/>
      <c r="H4" s="350"/>
      <c r="I4" s="350"/>
      <c r="J4" s="350"/>
      <c r="K4" s="350"/>
      <c r="L4" s="350"/>
      <c r="M4" s="350"/>
      <c r="T4" s="175" t="s">
        <v>120</v>
      </c>
    </row>
    <row r="5" spans="2:20" ht="15.75" thickBot="1" x14ac:dyDescent="0.3">
      <c r="T5" s="175" t="s">
        <v>121</v>
      </c>
    </row>
    <row r="6" spans="2:20" ht="18.75" x14ac:dyDescent="0.3">
      <c r="E6" s="285" t="s">
        <v>71</v>
      </c>
      <c r="F6" s="286"/>
      <c r="G6" s="286"/>
      <c r="H6" s="286"/>
      <c r="I6" s="286"/>
      <c r="J6" s="286"/>
      <c r="K6" s="286"/>
      <c r="L6" s="286"/>
      <c r="M6" s="287"/>
    </row>
    <row r="7" spans="2:20" ht="18.75" customHeight="1" x14ac:dyDescent="0.25">
      <c r="E7" s="163" t="s">
        <v>72</v>
      </c>
      <c r="F7" s="164" t="s">
        <v>22</v>
      </c>
      <c r="G7" s="164" t="s">
        <v>73</v>
      </c>
      <c r="H7" s="164" t="s">
        <v>74</v>
      </c>
      <c r="I7" s="297" t="s">
        <v>96</v>
      </c>
      <c r="J7" s="298"/>
      <c r="K7" s="298"/>
      <c r="L7" s="298"/>
      <c r="M7" s="299"/>
    </row>
    <row r="8" spans="2:20" ht="19.5" thickBot="1" x14ac:dyDescent="0.3">
      <c r="E8" s="5" t="str">
        <f>'CONVERSOR CodE a EHE-08'!C5</f>
        <v>-</v>
      </c>
      <c r="F8" s="6" t="str">
        <f>'CONVERSOR CodE a EHE-08'!D5</f>
        <v>-</v>
      </c>
      <c r="G8" s="6" t="str">
        <f>'CONVERSOR CodE a EHE-08'!E5</f>
        <v>-</v>
      </c>
      <c r="H8" s="6" t="str">
        <f>'CONVERSOR CodE a EHE-08'!F5</f>
        <v>-</v>
      </c>
      <c r="I8" s="6" t="str">
        <f>'CONVERSOR CodE a EHE-08'!G5</f>
        <v>-</v>
      </c>
      <c r="J8" s="7" t="str">
        <f>'CONVERSOR EHE-08 a CodE'!R5</f>
        <v/>
      </c>
      <c r="K8" s="8" t="str">
        <f>'CONVERSOR CodE a EHE-08'!I5</f>
        <v>-</v>
      </c>
      <c r="L8" s="7" t="str">
        <f>'CONVERSOR EHE-08 a CodE'!T5</f>
        <v/>
      </c>
      <c r="M8" s="8" t="str">
        <f>'CONVERSOR CodE a EHE-08'!K5</f>
        <v>-</v>
      </c>
    </row>
    <row r="11" spans="2:20" ht="15" customHeight="1" x14ac:dyDescent="0.25">
      <c r="E11" s="351" t="s">
        <v>108</v>
      </c>
      <c r="F11" s="339" t="s">
        <v>98</v>
      </c>
      <c r="G11" s="339"/>
      <c r="H11" s="339"/>
      <c r="I11" s="340" t="s">
        <v>99</v>
      </c>
      <c r="J11" s="341" t="s">
        <v>109</v>
      </c>
      <c r="K11" s="342"/>
      <c r="L11" s="346"/>
      <c r="M11" s="292"/>
    </row>
    <row r="12" spans="2:20" ht="28.5" customHeight="1" x14ac:dyDescent="0.25">
      <c r="E12" s="351"/>
      <c r="F12" s="222" t="s">
        <v>100</v>
      </c>
      <c r="G12" s="222" t="s">
        <v>101</v>
      </c>
      <c r="H12" s="222" t="s">
        <v>102</v>
      </c>
      <c r="I12" s="340"/>
      <c r="J12" s="347" t="s">
        <v>110</v>
      </c>
      <c r="K12" s="348"/>
      <c r="L12" s="346"/>
      <c r="M12" s="292"/>
    </row>
    <row r="13" spans="2:20" x14ac:dyDescent="0.25">
      <c r="B13" s="172" t="str">
        <f>E8</f>
        <v>-</v>
      </c>
      <c r="C13" s="172" t="str">
        <f>I8</f>
        <v>-</v>
      </c>
      <c r="D13" s="172" t="str">
        <f>B13&amp;C13</f>
        <v>--</v>
      </c>
      <c r="E13" s="172" t="str">
        <f>IFERROR(VLOOKUP(D13,'Prescripciones generales'!D$8:J$60,2,FALSE),"")</f>
        <v/>
      </c>
      <c r="F13" s="172" t="str">
        <f>IFERROR(VLOOKUP(D13,'Prescripciones generales'!D$8:J$60,3,FALSE),"")</f>
        <v/>
      </c>
      <c r="G13" s="172" t="str">
        <f>IFERROR(VLOOKUP(D13,'Prescripciones generales'!D$8:J$60,4,FALSE),"")</f>
        <v/>
      </c>
      <c r="H13" s="172" t="str">
        <f>IFERROR(VLOOKUP(D13,'Prescripciones generales'!D$8:J$60,5,FALSE),"")</f>
        <v/>
      </c>
      <c r="I13" s="172" t="str">
        <f>IFERROR(VLOOKUP(D13,'Prescripciones generales'!D$8:J$60,6,FALSE),"")</f>
        <v/>
      </c>
      <c r="J13" s="344" t="str">
        <f>IFERROR(VLOOKUP(D13,'Prescripciones generales'!D$8:J$60,7,FALSE),"")</f>
        <v/>
      </c>
      <c r="K13" s="345"/>
    </row>
    <row r="14" spans="2:20" x14ac:dyDescent="0.25">
      <c r="B14" s="172" t="str">
        <f>E8</f>
        <v>-</v>
      </c>
      <c r="C14" s="172" t="str">
        <f>K8</f>
        <v>-</v>
      </c>
      <c r="D14" s="172" t="str">
        <f t="shared" ref="D14:D15" si="0">B14&amp;C14</f>
        <v>--</v>
      </c>
      <c r="E14" s="172" t="str">
        <f>IFERROR(VLOOKUP(D14,'Prescripciones generales'!D$8:J$60,2,FALSE),"")</f>
        <v/>
      </c>
      <c r="F14" s="172" t="str">
        <f>IFERROR(VLOOKUP(D14,'Prescripciones generales'!D$8:J$60,3,FALSE),"")</f>
        <v/>
      </c>
      <c r="G14" s="172" t="str">
        <f>IFERROR(VLOOKUP(D14,'Prescripciones generales'!D$8:J$60,4,FALSE),"")</f>
        <v/>
      </c>
      <c r="H14" s="172" t="str">
        <f>IFERROR(VLOOKUP(D14,'Prescripciones generales'!D$8:J$60,5,FALSE),"")</f>
        <v/>
      </c>
      <c r="I14" s="172" t="str">
        <f>IFERROR(VLOOKUP(D14,'Prescripciones generales'!D$8:J$60,6,FALSE),"")</f>
        <v/>
      </c>
      <c r="J14" s="344" t="str">
        <f>IFERROR(VLOOKUP(D14,'Prescripciones generales'!D$8:J$60,7,FALSE),"")</f>
        <v/>
      </c>
      <c r="K14" s="345"/>
    </row>
    <row r="15" spans="2:20" x14ac:dyDescent="0.25">
      <c r="B15" s="172" t="str">
        <f>E8</f>
        <v>-</v>
      </c>
      <c r="C15" s="172" t="str">
        <f>M8</f>
        <v>-</v>
      </c>
      <c r="D15" s="172" t="str">
        <f t="shared" si="0"/>
        <v>--</v>
      </c>
      <c r="E15" s="172" t="str">
        <f>IFERROR(VLOOKUP(D15,'Prescripciones generales'!D$8:J$60,2,FALSE),"")</f>
        <v/>
      </c>
      <c r="F15" s="172" t="str">
        <f>IFERROR(VLOOKUP(D15,'Prescripciones generales'!D$8:J$60,3,FALSE),"")</f>
        <v/>
      </c>
      <c r="G15" s="172" t="str">
        <f>IFERROR(VLOOKUP(D15,'Prescripciones generales'!D$8:J$60,4,FALSE),"")</f>
        <v/>
      </c>
      <c r="H15" s="172" t="str">
        <f>IFERROR(VLOOKUP(D15,'Prescripciones generales'!D$8:J$60,5,FALSE),"")</f>
        <v/>
      </c>
      <c r="I15" s="172" t="str">
        <f>IFERROR(VLOOKUP(D15,'Prescripciones generales'!D$8:J$60,6,FALSE),"")</f>
        <v/>
      </c>
      <c r="J15" s="344" t="str">
        <f>IFERROR(VLOOKUP(D15,'Prescripciones generales'!D$8:J$60,7,FALSE),"")</f>
        <v/>
      </c>
      <c r="K15" s="345"/>
    </row>
    <row r="16" spans="2:20" x14ac:dyDescent="0.25">
      <c r="I16" s="4"/>
    </row>
    <row r="17" spans="5:13" x14ac:dyDescent="0.25">
      <c r="E17" s="172">
        <f>IF(E13="",0,IF(E13=0,0,IF(E13="MR",1,IF(E13="SR o SRC (si es por presencia de sulfatos Tabla 27.1.b)",2,0))))</f>
        <v>0</v>
      </c>
      <c r="F17" s="176" t="str">
        <f>IF(F13=0,"",IF(F13="≤ 50",50,IF(F13="≤ 30",30,"")))</f>
        <v/>
      </c>
      <c r="G17" s="176" t="str">
        <f>IF(G13=0,"",IF(G13="≤ 30",30,IF(G13="≤ 20",20,"")))</f>
        <v/>
      </c>
      <c r="H17" s="176" t="str">
        <f>IF(H13=0,"",IF(H13="≥4,50",4.5,""))</f>
        <v/>
      </c>
      <c r="I17" s="176"/>
      <c r="J17" s="343" t="str">
        <f>IF(J13="","",J13)</f>
        <v/>
      </c>
      <c r="K17" s="343"/>
    </row>
    <row r="18" spans="5:13" x14ac:dyDescent="0.25">
      <c r="E18" s="172">
        <f t="shared" ref="E18:E19" si="1">IF(E14="",0,IF(E14=0,0,IF(E14="MR",1,IF(E14="SR o SRC (si es por presencia de sulfatos Tabla 27.1.b)",2,0))))</f>
        <v>0</v>
      </c>
      <c r="F18" s="176" t="str">
        <f t="shared" ref="F18:F19" si="2">IF(F14=0,"",IF(F14="≤ 50",50,IF(F14="≤ 30",30,"")))</f>
        <v/>
      </c>
      <c r="G18" s="176" t="str">
        <f t="shared" ref="G18:G19" si="3">IF(G14=0,"",IF(G14="≤ 30",30,IF(G14="≤ 20",20,"")))</f>
        <v/>
      </c>
      <c r="H18" s="176" t="str">
        <f t="shared" ref="H18:H19" si="4">IF(H14=0,"",IF(H14="≥4,50",4.5,""))</f>
        <v/>
      </c>
      <c r="I18" s="176"/>
      <c r="J18" s="343" t="str">
        <f t="shared" ref="J18:J19" si="5">IF(J14="","",J14)</f>
        <v/>
      </c>
      <c r="K18" s="343"/>
    </row>
    <row r="19" spans="5:13" x14ac:dyDescent="0.25">
      <c r="E19" s="172">
        <f t="shared" si="1"/>
        <v>0</v>
      </c>
      <c r="F19" s="176" t="str">
        <f t="shared" si="2"/>
        <v/>
      </c>
      <c r="G19" s="176" t="str">
        <f t="shared" si="3"/>
        <v/>
      </c>
      <c r="H19" s="176" t="str">
        <f t="shared" si="4"/>
        <v/>
      </c>
      <c r="I19" s="176"/>
      <c r="J19" s="343" t="str">
        <f t="shared" si="5"/>
        <v/>
      </c>
      <c r="K19" s="343"/>
    </row>
    <row r="20" spans="5:13" x14ac:dyDescent="0.25">
      <c r="E20" s="148"/>
      <c r="F20" s="177">
        <f>MIN(F17:F19)</f>
        <v>0</v>
      </c>
      <c r="G20" s="177">
        <f>MIN(G17:G19)</f>
        <v>0</v>
      </c>
      <c r="H20" s="177">
        <f>MAX(H17:H19)</f>
        <v>0</v>
      </c>
      <c r="I20" s="178"/>
      <c r="J20" s="349">
        <f>MIN(J17:K19)</f>
        <v>0</v>
      </c>
      <c r="K20" s="349"/>
    </row>
    <row r="21" spans="5:13" x14ac:dyDescent="0.25">
      <c r="E21" s="148"/>
      <c r="F21" s="172" t="str">
        <f>IF(F20=0,"",IF(F20=50,"≤ 50",IF(F20=30,"≤ 30")))</f>
        <v/>
      </c>
      <c r="G21" s="172" t="str">
        <f>IF(G20=0,"",IF(G20=30,"≤ 30",IF(G20=20,"≤ 20")))</f>
        <v/>
      </c>
      <c r="H21" s="172" t="str">
        <f>IF(H20="","",IF(H20=4.5,"≥ 4,50",""))</f>
        <v/>
      </c>
      <c r="I21" s="172" t="str" cm="1">
        <f t="array" ref="I21">IF(I13="SI","SI",IF(I14="SI","SI",IF(I15="SI",SI,"")))</f>
        <v/>
      </c>
      <c r="J21" s="344"/>
      <c r="K21" s="345"/>
    </row>
    <row r="23" spans="5:13" ht="15" customHeight="1" x14ac:dyDescent="0.25">
      <c r="E23" s="222" t="s">
        <v>108</v>
      </c>
      <c r="F23" s="339" t="s">
        <v>98</v>
      </c>
      <c r="G23" s="339"/>
      <c r="H23" s="339"/>
      <c r="I23" s="340" t="s">
        <v>99</v>
      </c>
      <c r="J23" s="341" t="s">
        <v>109</v>
      </c>
      <c r="K23" s="342"/>
      <c r="L23" s="346"/>
      <c r="M23" s="292"/>
    </row>
    <row r="24" spans="5:13" ht="21.75" customHeight="1" x14ac:dyDescent="0.25">
      <c r="E24" s="222" t="s">
        <v>119</v>
      </c>
      <c r="F24" s="222" t="s">
        <v>100</v>
      </c>
      <c r="G24" s="222" t="s">
        <v>101</v>
      </c>
      <c r="H24" s="222" t="s">
        <v>123</v>
      </c>
      <c r="I24" s="340"/>
      <c r="J24" s="347" t="s">
        <v>110</v>
      </c>
      <c r="K24" s="348"/>
      <c r="L24" s="346"/>
      <c r="M24" s="292"/>
    </row>
    <row r="25" spans="5:13" x14ac:dyDescent="0.25">
      <c r="E25" s="179" t="str">
        <f>IF(OR(E13="MR",E14="MR",E15="MR"),"SI",IF(OR(E13="MRMAR",E14="MRMAR",E15="MRMAR"),"SI*","-"))</f>
        <v>-</v>
      </c>
      <c r="F25" s="343" t="str">
        <f>IF(OR(F21="",F21=0),"-",F21)</f>
        <v>-</v>
      </c>
      <c r="G25" s="343" t="str">
        <f>IF(OR(G21="",G21=0),"-",G21)</f>
        <v>-</v>
      </c>
      <c r="H25" s="343" t="str">
        <f>IF(OR(H21="",H21=0),"-",H21)</f>
        <v>-</v>
      </c>
      <c r="I25" s="343" t="str">
        <f>IF(I21="SI","SI","No requiere")</f>
        <v>No requiere</v>
      </c>
      <c r="J25" s="343" t="str">
        <f>IF(J20=0,"",J20)</f>
        <v/>
      </c>
      <c r="K25" s="343"/>
    </row>
    <row r="26" spans="5:13" x14ac:dyDescent="0.25">
      <c r="E26" s="180" t="str">
        <f>IF(OR(E13="SR o SRC",E14="SR o SRC",E15="SR o SRC"),"Tabla 27.1.b","-")</f>
        <v>-</v>
      </c>
      <c r="F26" s="343"/>
      <c r="G26" s="343"/>
      <c r="H26" s="343"/>
      <c r="I26" s="343"/>
      <c r="J26" s="343"/>
      <c r="K26" s="343"/>
    </row>
  </sheetData>
  <mergeCells count="27">
    <mergeCell ref="F23:H23"/>
    <mergeCell ref="I23:I24"/>
    <mergeCell ref="J23:K23"/>
    <mergeCell ref="F25:F26"/>
    <mergeCell ref="G25:G26"/>
    <mergeCell ref="H25:H26"/>
    <mergeCell ref="I25:I26"/>
    <mergeCell ref="J25:K26"/>
    <mergeCell ref="L23:M24"/>
    <mergeCell ref="J24:K24"/>
    <mergeCell ref="J13:K13"/>
    <mergeCell ref="J14:K14"/>
    <mergeCell ref="J15:K15"/>
    <mergeCell ref="J17:K17"/>
    <mergeCell ref="J18:K18"/>
    <mergeCell ref="J19:K19"/>
    <mergeCell ref="J20:K20"/>
    <mergeCell ref="J21:K21"/>
    <mergeCell ref="E3:M4"/>
    <mergeCell ref="E6:M6"/>
    <mergeCell ref="I7:M7"/>
    <mergeCell ref="E11:E12"/>
    <mergeCell ref="F11:H11"/>
    <mergeCell ref="I11:I12"/>
    <mergeCell ref="J11:K11"/>
    <mergeCell ref="L11:M12"/>
    <mergeCell ref="J12:K12"/>
  </mergeCells>
  <conditionalFormatting sqref="F8">
    <cfRule type="expression" dxfId="0" priority="1">
      <formula xml:space="preserve"> $Q$6&gt;$G$6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B66B-CF6E-4FB2-BB96-A03D691C3488}">
  <sheetPr codeName="Hoja8">
    <tabColor theme="7"/>
  </sheetPr>
  <dimension ref="B4:W60"/>
  <sheetViews>
    <sheetView topLeftCell="D1" zoomScale="70" zoomScaleNormal="70" workbookViewId="0">
      <selection activeCell="O32" sqref="O32"/>
    </sheetView>
  </sheetViews>
  <sheetFormatPr baseColWidth="10" defaultRowHeight="15" x14ac:dyDescent="0.25"/>
  <cols>
    <col min="1" max="1" width="29.5703125" customWidth="1"/>
    <col min="2" max="2" width="15.7109375" customWidth="1"/>
    <col min="3" max="3" width="26.140625" style="4" customWidth="1"/>
    <col min="4" max="4" width="19.140625" style="4" customWidth="1"/>
    <col min="5" max="5" width="62" customWidth="1"/>
    <col min="10" max="10" width="29.5703125" bestFit="1" customWidth="1"/>
    <col min="15" max="20" width="20.7109375" customWidth="1"/>
  </cols>
  <sheetData>
    <row r="4" spans="2:20" ht="15" customHeight="1" x14ac:dyDescent="0.25">
      <c r="B4" s="352" t="s">
        <v>112</v>
      </c>
      <c r="C4" s="357" t="s">
        <v>97</v>
      </c>
      <c r="D4" s="354" t="s">
        <v>111</v>
      </c>
      <c r="E4" s="352" t="s">
        <v>108</v>
      </c>
      <c r="F4" s="360" t="s">
        <v>98</v>
      </c>
      <c r="G4" s="361"/>
      <c r="H4" s="362"/>
      <c r="I4" s="353" t="s">
        <v>99</v>
      </c>
      <c r="J4" s="354" t="s">
        <v>117</v>
      </c>
      <c r="N4" s="12"/>
      <c r="O4" s="371" t="s">
        <v>0</v>
      </c>
      <c r="P4" s="371"/>
      <c r="Q4" s="371" t="s">
        <v>4</v>
      </c>
      <c r="R4" s="371"/>
      <c r="S4" s="371" t="s">
        <v>5</v>
      </c>
      <c r="T4" s="371"/>
    </row>
    <row r="5" spans="2:20" ht="33" customHeight="1" x14ac:dyDescent="0.25">
      <c r="B5" s="352"/>
      <c r="C5" s="358"/>
      <c r="D5" s="355"/>
      <c r="E5" s="352"/>
      <c r="F5" s="363"/>
      <c r="G5" s="364"/>
      <c r="H5" s="365"/>
      <c r="I5" s="353"/>
      <c r="J5" s="355"/>
      <c r="N5" s="12"/>
      <c r="O5" s="192" t="s">
        <v>136</v>
      </c>
      <c r="P5" s="192" t="s">
        <v>137</v>
      </c>
      <c r="Q5" s="192" t="s">
        <v>136</v>
      </c>
      <c r="R5" s="192" t="s">
        <v>137</v>
      </c>
      <c r="S5" s="192" t="s">
        <v>136</v>
      </c>
      <c r="T5" s="192" t="s">
        <v>137</v>
      </c>
    </row>
    <row r="6" spans="2:20" ht="33" customHeight="1" x14ac:dyDescent="0.25">
      <c r="B6" s="352"/>
      <c r="C6" s="358"/>
      <c r="D6" s="355"/>
      <c r="E6" s="352"/>
      <c r="F6" s="165" t="s">
        <v>115</v>
      </c>
      <c r="G6" s="165" t="s">
        <v>116</v>
      </c>
      <c r="H6" s="165" t="s">
        <v>102</v>
      </c>
      <c r="I6" s="353"/>
      <c r="J6" s="355"/>
      <c r="N6" s="223" t="s">
        <v>6</v>
      </c>
      <c r="O6" s="224">
        <v>0.65</v>
      </c>
      <c r="P6" s="210">
        <v>200</v>
      </c>
      <c r="Q6" s="224">
        <v>0.65</v>
      </c>
      <c r="R6" s="210">
        <v>250</v>
      </c>
      <c r="S6" s="224">
        <v>0.6</v>
      </c>
      <c r="T6" s="210">
        <v>275</v>
      </c>
    </row>
    <row r="7" spans="2:20" ht="20.25" customHeight="1" x14ac:dyDescent="0.25">
      <c r="B7" s="352"/>
      <c r="C7" s="359"/>
      <c r="D7" s="356"/>
      <c r="E7" s="352"/>
      <c r="F7" s="173" t="s">
        <v>113</v>
      </c>
      <c r="G7" s="173" t="s">
        <v>113</v>
      </c>
      <c r="H7" s="173" t="s">
        <v>114</v>
      </c>
      <c r="I7" s="353"/>
      <c r="J7" s="174" t="s">
        <v>118</v>
      </c>
      <c r="N7" s="223" t="s">
        <v>7</v>
      </c>
      <c r="O7" s="224"/>
      <c r="P7" s="210"/>
      <c r="Q7" s="224">
        <v>0.6</v>
      </c>
      <c r="R7" s="210">
        <v>275</v>
      </c>
      <c r="S7" s="224">
        <v>0.6</v>
      </c>
      <c r="T7" s="210">
        <v>300</v>
      </c>
    </row>
    <row r="8" spans="2:20" ht="18.75" customHeight="1" x14ac:dyDescent="0.25">
      <c r="B8" s="166" t="s">
        <v>0</v>
      </c>
      <c r="C8" s="168" t="s">
        <v>23</v>
      </c>
      <c r="D8" s="168" t="str">
        <f>B8&amp;C8</f>
        <v>HMX0</v>
      </c>
      <c r="E8" s="166"/>
      <c r="F8" s="166"/>
      <c r="G8" s="166"/>
      <c r="H8" s="166"/>
      <c r="I8" s="166"/>
      <c r="J8" s="167">
        <v>0.4</v>
      </c>
      <c r="N8" s="223" t="s">
        <v>8</v>
      </c>
      <c r="O8" s="224"/>
      <c r="P8" s="210"/>
      <c r="Q8" s="224">
        <v>0.55000000000000004</v>
      </c>
      <c r="R8" s="210">
        <v>300</v>
      </c>
      <c r="S8" s="224">
        <v>0.55000000000000004</v>
      </c>
      <c r="T8" s="210">
        <v>300</v>
      </c>
    </row>
    <row r="9" spans="2:20" ht="18.75" customHeight="1" x14ac:dyDescent="0.25">
      <c r="B9" s="166" t="s">
        <v>4</v>
      </c>
      <c r="C9" s="168" t="s">
        <v>23</v>
      </c>
      <c r="D9" s="168" t="str">
        <f t="shared" ref="D9:D60" si="0">B9&amp;C9</f>
        <v>HAX0</v>
      </c>
      <c r="E9" s="166"/>
      <c r="F9" s="166"/>
      <c r="G9" s="166"/>
      <c r="H9" s="166"/>
      <c r="I9" s="166"/>
      <c r="J9" s="167">
        <v>0.4</v>
      </c>
      <c r="N9" s="223" t="s">
        <v>9</v>
      </c>
      <c r="O9" s="224"/>
      <c r="P9" s="210"/>
      <c r="Q9" s="224">
        <v>0.5</v>
      </c>
      <c r="R9" s="210">
        <v>300</v>
      </c>
      <c r="S9" s="224">
        <v>0.45</v>
      </c>
      <c r="T9" s="210">
        <v>300</v>
      </c>
    </row>
    <row r="10" spans="2:20" ht="23.25" x14ac:dyDescent="0.25">
      <c r="B10" s="166" t="s">
        <v>5</v>
      </c>
      <c r="C10" s="168" t="s">
        <v>23</v>
      </c>
      <c r="D10" s="168" t="str">
        <f t="shared" si="0"/>
        <v>HPX0</v>
      </c>
      <c r="E10" s="166"/>
      <c r="F10" s="166"/>
      <c r="G10" s="166"/>
      <c r="H10" s="166"/>
      <c r="I10" s="166"/>
      <c r="J10" s="167">
        <v>0.2</v>
      </c>
      <c r="N10" s="223" t="s">
        <v>10</v>
      </c>
      <c r="O10" s="224"/>
      <c r="P10" s="210"/>
      <c r="Q10" s="224">
        <v>0.5</v>
      </c>
      <c r="R10" s="210">
        <v>325</v>
      </c>
      <c r="S10" s="224">
        <v>0.45</v>
      </c>
      <c r="T10" s="210">
        <v>325</v>
      </c>
    </row>
    <row r="11" spans="2:20" ht="23.25" x14ac:dyDescent="0.25">
      <c r="B11" s="166" t="s">
        <v>4</v>
      </c>
      <c r="C11" s="168" t="s">
        <v>24</v>
      </c>
      <c r="D11" s="168" t="str">
        <f t="shared" si="0"/>
        <v>HAXC1</v>
      </c>
      <c r="E11" s="166"/>
      <c r="F11" s="166"/>
      <c r="G11" s="166"/>
      <c r="H11" s="166"/>
      <c r="I11" s="166"/>
      <c r="J11" s="167">
        <v>0.4</v>
      </c>
      <c r="N11" s="223" t="s">
        <v>11</v>
      </c>
      <c r="O11" s="224"/>
      <c r="P11" s="210"/>
      <c r="Q11" s="224">
        <v>0.45</v>
      </c>
      <c r="R11" s="210">
        <v>350</v>
      </c>
      <c r="S11" s="224">
        <v>0.45</v>
      </c>
      <c r="T11" s="210">
        <v>350</v>
      </c>
    </row>
    <row r="12" spans="2:20" ht="23.25" x14ac:dyDescent="0.25">
      <c r="B12" s="166" t="s">
        <v>5</v>
      </c>
      <c r="C12" s="168" t="s">
        <v>24</v>
      </c>
      <c r="D12" s="168" t="str">
        <f t="shared" si="0"/>
        <v>HPXC1</v>
      </c>
      <c r="E12" s="166"/>
      <c r="F12" s="166"/>
      <c r="G12" s="166"/>
      <c r="H12" s="166"/>
      <c r="I12" s="166"/>
      <c r="J12" s="167">
        <v>0.2</v>
      </c>
      <c r="N12" s="223" t="s">
        <v>12</v>
      </c>
      <c r="O12" s="224"/>
      <c r="P12" s="210"/>
      <c r="Q12" s="224">
        <v>0.5</v>
      </c>
      <c r="R12" s="210">
        <v>325</v>
      </c>
      <c r="S12" s="224">
        <v>0.45</v>
      </c>
      <c r="T12" s="210">
        <v>325</v>
      </c>
    </row>
    <row r="13" spans="2:20" ht="23.25" x14ac:dyDescent="0.25">
      <c r="B13" s="166" t="s">
        <v>4</v>
      </c>
      <c r="C13" s="168" t="s">
        <v>25</v>
      </c>
      <c r="D13" s="168" t="str">
        <f t="shared" si="0"/>
        <v>HAXC2</v>
      </c>
      <c r="E13" s="166"/>
      <c r="F13" s="166"/>
      <c r="G13" s="166"/>
      <c r="H13" s="166"/>
      <c r="I13" s="166"/>
      <c r="J13" s="167">
        <v>0.4</v>
      </c>
      <c r="N13" s="223" t="s">
        <v>16</v>
      </c>
      <c r="O13" s="224">
        <v>0.55000000000000004</v>
      </c>
      <c r="P13" s="210">
        <v>275</v>
      </c>
      <c r="Q13" s="224">
        <v>0.55000000000000004</v>
      </c>
      <c r="R13" s="210">
        <v>300</v>
      </c>
      <c r="S13" s="224">
        <v>0.55000000000000004</v>
      </c>
      <c r="T13" s="210">
        <v>300</v>
      </c>
    </row>
    <row r="14" spans="2:20" ht="23.25" x14ac:dyDescent="0.25">
      <c r="B14" s="166" t="s">
        <v>5</v>
      </c>
      <c r="C14" s="168" t="s">
        <v>25</v>
      </c>
      <c r="D14" s="168" t="str">
        <f t="shared" si="0"/>
        <v>HPXC2</v>
      </c>
      <c r="E14" s="166"/>
      <c r="F14" s="166"/>
      <c r="G14" s="166"/>
      <c r="H14" s="166"/>
      <c r="I14" s="166"/>
      <c r="J14" s="167">
        <v>0.2</v>
      </c>
      <c r="N14" s="223" t="s">
        <v>17</v>
      </c>
      <c r="O14" s="224">
        <v>0.5</v>
      </c>
      <c r="P14" s="210">
        <v>300</v>
      </c>
      <c r="Q14" s="224">
        <v>0.5</v>
      </c>
      <c r="R14" s="210">
        <v>325</v>
      </c>
      <c r="S14" s="224">
        <v>0.5</v>
      </c>
      <c r="T14" s="210">
        <v>325</v>
      </c>
    </row>
    <row r="15" spans="2:20" ht="23.25" x14ac:dyDescent="0.25">
      <c r="B15" s="166" t="s">
        <v>4</v>
      </c>
      <c r="C15" s="168" t="s">
        <v>27</v>
      </c>
      <c r="D15" s="168" t="str">
        <f t="shared" si="0"/>
        <v>HAXC3</v>
      </c>
      <c r="E15" s="166"/>
      <c r="F15" s="166"/>
      <c r="G15" s="166"/>
      <c r="H15" s="166"/>
      <c r="I15" s="166" t="s">
        <v>103</v>
      </c>
      <c r="J15" s="167">
        <v>0.4</v>
      </c>
      <c r="N15" s="225" t="s">
        <v>18</v>
      </c>
      <c r="O15" s="224">
        <v>0.5</v>
      </c>
      <c r="P15" s="210">
        <v>275</v>
      </c>
      <c r="Q15" s="224">
        <v>0.5</v>
      </c>
      <c r="R15" s="210">
        <v>300</v>
      </c>
      <c r="S15" s="224">
        <v>0.5</v>
      </c>
      <c r="T15" s="210">
        <v>300</v>
      </c>
    </row>
    <row r="16" spans="2:20" ht="23.25" x14ac:dyDescent="0.25">
      <c r="B16" s="166" t="s">
        <v>5</v>
      </c>
      <c r="C16" s="168" t="s">
        <v>27</v>
      </c>
      <c r="D16" s="168" t="str">
        <f t="shared" si="0"/>
        <v>HPXC3</v>
      </c>
      <c r="E16" s="166"/>
      <c r="F16" s="166"/>
      <c r="G16" s="166"/>
      <c r="H16" s="166"/>
      <c r="I16" s="166" t="s">
        <v>103</v>
      </c>
      <c r="J16" s="167">
        <v>0.2</v>
      </c>
      <c r="N16" s="225" t="s">
        <v>13</v>
      </c>
      <c r="O16" s="224">
        <v>0.5</v>
      </c>
      <c r="P16" s="210">
        <v>275</v>
      </c>
      <c r="Q16" s="224">
        <v>0.5</v>
      </c>
      <c r="R16" s="210">
        <v>325</v>
      </c>
      <c r="S16" s="224">
        <v>0.5</v>
      </c>
      <c r="T16" s="210">
        <v>325</v>
      </c>
    </row>
    <row r="17" spans="2:23" ht="23.25" x14ac:dyDescent="0.25">
      <c r="B17" s="166" t="s">
        <v>4</v>
      </c>
      <c r="C17" s="168" t="s">
        <v>28</v>
      </c>
      <c r="D17" s="168" t="str">
        <f t="shared" si="0"/>
        <v>HAXC4</v>
      </c>
      <c r="E17" s="166"/>
      <c r="F17" s="166"/>
      <c r="G17" s="166"/>
      <c r="H17" s="166"/>
      <c r="I17" s="166" t="s">
        <v>103</v>
      </c>
      <c r="J17" s="167">
        <v>0.4</v>
      </c>
      <c r="N17" s="223" t="s">
        <v>14</v>
      </c>
      <c r="O17" s="224">
        <v>0.5</v>
      </c>
      <c r="P17" s="210">
        <v>300</v>
      </c>
      <c r="Q17" s="224">
        <v>0.5</v>
      </c>
      <c r="R17" s="210">
        <v>350</v>
      </c>
      <c r="S17" s="224">
        <v>0.45</v>
      </c>
      <c r="T17" s="210">
        <v>350</v>
      </c>
      <c r="U17" s="372" t="s">
        <v>138</v>
      </c>
      <c r="V17" s="373"/>
      <c r="W17" s="373"/>
    </row>
    <row r="18" spans="2:23" ht="24" thickBot="1" x14ac:dyDescent="0.3">
      <c r="B18" s="166" t="s">
        <v>5</v>
      </c>
      <c r="C18" s="168" t="s">
        <v>28</v>
      </c>
      <c r="D18" s="168" t="str">
        <f t="shared" si="0"/>
        <v>HPXC4</v>
      </c>
      <c r="E18" s="166"/>
      <c r="F18" s="166"/>
      <c r="G18" s="166"/>
      <c r="H18" s="166"/>
      <c r="I18" s="166" t="s">
        <v>103</v>
      </c>
      <c r="J18" s="167">
        <v>0.2</v>
      </c>
      <c r="N18" s="225" t="s">
        <v>15</v>
      </c>
      <c r="O18" s="224">
        <v>0.45</v>
      </c>
      <c r="P18" s="210">
        <v>325</v>
      </c>
      <c r="Q18" s="224">
        <v>0.45</v>
      </c>
      <c r="R18" s="210">
        <v>350</v>
      </c>
      <c r="S18" s="224">
        <v>0.45</v>
      </c>
      <c r="T18" s="210">
        <v>350</v>
      </c>
      <c r="U18" s="226" t="str">
        <f>'CONVERSOR EHE-08 a CodE'!G5</f>
        <v>IIa</v>
      </c>
      <c r="V18" s="226" t="str">
        <f>'CONVERSOR EHE-08 a CodE'!I5</f>
        <v>-</v>
      </c>
      <c r="W18" s="226" t="str">
        <f>'CONVERSOR EHE-08 a CodE'!K5</f>
        <v>-</v>
      </c>
    </row>
    <row r="19" spans="2:23" ht="24" thickTop="1" x14ac:dyDescent="0.25">
      <c r="B19" s="166" t="s">
        <v>4</v>
      </c>
      <c r="C19" s="168" t="s">
        <v>30</v>
      </c>
      <c r="D19" s="168" t="str">
        <f t="shared" si="0"/>
        <v>HAXD1</v>
      </c>
      <c r="E19" s="166"/>
      <c r="F19" s="166" t="s">
        <v>104</v>
      </c>
      <c r="G19" s="166" t="s">
        <v>105</v>
      </c>
      <c r="H19" s="166"/>
      <c r="I19" s="166" t="s">
        <v>103</v>
      </c>
      <c r="J19" s="167">
        <v>0.2</v>
      </c>
      <c r="O19" s="128">
        <f>IFERROR(VLOOKUP(U$18,N$6:T$18,2,FALSE),"")</f>
        <v>0</v>
      </c>
      <c r="P19" s="129">
        <f>IFERROR(VLOOKUP(U$18,N$6:T$18,3,FALSE),"")</f>
        <v>0</v>
      </c>
      <c r="Q19" s="128">
        <f>IFERROR(VLOOKUP(U$18,N$6:T$18,4,FALSE),"")</f>
        <v>0.6</v>
      </c>
      <c r="R19" s="129">
        <f>IFERROR(VLOOKUP(U$18,N$6:T$18,5,FALSE),"")</f>
        <v>275</v>
      </c>
      <c r="S19" s="131">
        <f>IFERROR(VLOOKUP(U$18,N$6:T$18,6,FALSE),"")</f>
        <v>0.6</v>
      </c>
      <c r="T19" s="129">
        <f>IFERROR(VLOOKUP(U$18,N$6:T$18,7,FALSE),"")</f>
        <v>300</v>
      </c>
    </row>
    <row r="20" spans="2:23" ht="18.75" customHeight="1" x14ac:dyDescent="0.25">
      <c r="B20" s="166" t="s">
        <v>5</v>
      </c>
      <c r="C20" s="168" t="s">
        <v>30</v>
      </c>
      <c r="D20" s="168" t="str">
        <f t="shared" si="0"/>
        <v>HPXD1</v>
      </c>
      <c r="E20" s="166"/>
      <c r="F20" s="166" t="s">
        <v>104</v>
      </c>
      <c r="G20" s="166" t="s">
        <v>105</v>
      </c>
      <c r="H20" s="166"/>
      <c r="I20" s="166" t="s">
        <v>103</v>
      </c>
      <c r="J20" s="167">
        <v>0.1</v>
      </c>
      <c r="O20" s="135" t="str">
        <f>IFERROR(VLOOKUP(V$18,N$6:T$18,2,FALSE),"")</f>
        <v/>
      </c>
      <c r="P20" s="136" t="str">
        <f>IFERROR(VLOOKUP(V$18,N$6:T$18,3,FALSE),"")</f>
        <v/>
      </c>
      <c r="Q20" s="135" t="str">
        <f>IFERROR(VLOOKUP(V$18,N$6:T$18,4,FALSE),"")</f>
        <v/>
      </c>
      <c r="R20" s="136" t="str">
        <f>IFERROR(VLOOKUP(V$18,N$6:T$18,5,FALSE),"")</f>
        <v/>
      </c>
      <c r="S20" s="138" t="str">
        <f>IFERROR(VLOOKUP(V$18,N$6:T$18,6,FALSE),"")</f>
        <v/>
      </c>
      <c r="T20" s="136" t="str">
        <f>IFERROR(VLOOKUP(V$18,N$6:T$18,7,FALSE),"")</f>
        <v/>
      </c>
    </row>
    <row r="21" spans="2:23" ht="18.75" customHeight="1" thickBot="1" x14ac:dyDescent="0.3">
      <c r="B21" s="166" t="s">
        <v>4</v>
      </c>
      <c r="C21" s="168" t="s">
        <v>32</v>
      </c>
      <c r="D21" s="168" t="str">
        <f t="shared" si="0"/>
        <v>HAXD2</v>
      </c>
      <c r="E21" s="166"/>
      <c r="F21" s="166" t="s">
        <v>104</v>
      </c>
      <c r="G21" s="166" t="s">
        <v>105</v>
      </c>
      <c r="H21" s="166"/>
      <c r="I21" s="166" t="s">
        <v>103</v>
      </c>
      <c r="J21" s="167">
        <v>0.2</v>
      </c>
      <c r="O21" s="139" t="str">
        <f>IFERROR(VLOOKUP(W$18,N$6:T$18,2,FALSE),"")</f>
        <v/>
      </c>
      <c r="P21" s="140" t="str">
        <f>IFERROR(VLOOKUP(W$18,N$6:T$18,3,FALSE),"")</f>
        <v/>
      </c>
      <c r="Q21" s="139" t="str">
        <f>IFERROR(VLOOKUP(W$18,N$6:T$18,4,FALSE),"")</f>
        <v/>
      </c>
      <c r="R21" s="140" t="str">
        <f>IFERROR(VLOOKUP(W$18,N$6:T$18,5,FALSE),"")</f>
        <v/>
      </c>
      <c r="S21" s="142" t="str">
        <f>IFERROR(VLOOKUP(W$18,N$6:T$18,6,FALSE),"")</f>
        <v/>
      </c>
      <c r="T21" s="140" t="str">
        <f>IFERROR(VLOOKUP(W$18,N$6:T$18,7,FALSE),"")</f>
        <v/>
      </c>
    </row>
    <row r="22" spans="2:23" ht="18.75" customHeight="1" thickTop="1" x14ac:dyDescent="0.25">
      <c r="B22" s="166" t="s">
        <v>5</v>
      </c>
      <c r="C22" s="168" t="s">
        <v>32</v>
      </c>
      <c r="D22" s="168" t="str">
        <f t="shared" si="0"/>
        <v>HPXD2</v>
      </c>
      <c r="E22" s="166"/>
      <c r="F22" s="166" t="s">
        <v>104</v>
      </c>
      <c r="G22" s="166" t="s">
        <v>105</v>
      </c>
      <c r="H22" s="166"/>
      <c r="I22" s="166" t="s">
        <v>103</v>
      </c>
      <c r="J22" s="167">
        <v>0.1</v>
      </c>
      <c r="O22" s="368" t="s">
        <v>0</v>
      </c>
      <c r="P22" s="369"/>
      <c r="Q22" s="368" t="s">
        <v>4</v>
      </c>
      <c r="R22" s="369"/>
      <c r="S22" s="368" t="s">
        <v>5</v>
      </c>
      <c r="T22" s="370"/>
    </row>
    <row r="23" spans="2:23" ht="18.75" customHeight="1" thickBot="1" x14ac:dyDescent="0.3">
      <c r="B23" s="166" t="s">
        <v>4</v>
      </c>
      <c r="C23" s="168" t="s">
        <v>33</v>
      </c>
      <c r="D23" s="168" t="str">
        <f t="shared" si="0"/>
        <v>HAXD3</v>
      </c>
      <c r="E23" s="166"/>
      <c r="F23" s="166" t="s">
        <v>104</v>
      </c>
      <c r="G23" s="166" t="s">
        <v>105</v>
      </c>
      <c r="H23" s="166"/>
      <c r="I23" s="166" t="s">
        <v>103</v>
      </c>
      <c r="J23" s="167">
        <v>0.2</v>
      </c>
      <c r="O23" s="16" t="s">
        <v>57</v>
      </c>
      <c r="P23" s="17" t="s">
        <v>58</v>
      </c>
      <c r="Q23" s="16" t="s">
        <v>57</v>
      </c>
      <c r="R23" s="17" t="s">
        <v>58</v>
      </c>
      <c r="S23" s="16" t="s">
        <v>57</v>
      </c>
      <c r="T23" s="17" t="s">
        <v>58</v>
      </c>
    </row>
    <row r="24" spans="2:23" ht="18.75" customHeight="1" thickBot="1" x14ac:dyDescent="0.3">
      <c r="B24" s="166" t="s">
        <v>5</v>
      </c>
      <c r="C24" s="168" t="s">
        <v>33</v>
      </c>
      <c r="D24" s="168" t="str">
        <f t="shared" si="0"/>
        <v>HPXD3</v>
      </c>
      <c r="E24" s="166"/>
      <c r="F24" s="166" t="s">
        <v>104</v>
      </c>
      <c r="G24" s="166" t="s">
        <v>105</v>
      </c>
      <c r="H24" s="166"/>
      <c r="I24" s="166" t="s">
        <v>103</v>
      </c>
      <c r="J24" s="167">
        <v>0.1</v>
      </c>
      <c r="O24" s="227">
        <f>IFERROR(MIN(O19:O21),"")</f>
        <v>0</v>
      </c>
      <c r="P24" s="228">
        <f>IFERROR(MAX(P19:P21),"")</f>
        <v>0</v>
      </c>
      <c r="Q24" s="227">
        <f>IFERROR(MIN(Q19:Q21),"")</f>
        <v>0.6</v>
      </c>
      <c r="R24" s="228">
        <f>IFERROR(MAX(R19:R21),"")</f>
        <v>275</v>
      </c>
      <c r="S24" s="229">
        <f>IFERROR(MIN(S19:S21),"")</f>
        <v>0.6</v>
      </c>
      <c r="T24" s="228">
        <f>IFERROR(MAX(T19:T21),"")</f>
        <v>300</v>
      </c>
    </row>
    <row r="25" spans="2:23" ht="18.75" customHeight="1" thickTop="1" x14ac:dyDescent="0.25">
      <c r="B25" s="166" t="s">
        <v>4</v>
      </c>
      <c r="C25" s="168" t="s">
        <v>34</v>
      </c>
      <c r="D25" s="168" t="str">
        <f t="shared" si="0"/>
        <v>HAXS1</v>
      </c>
      <c r="E25" s="166"/>
      <c r="F25" s="169" t="s">
        <v>104</v>
      </c>
      <c r="G25" s="166" t="s">
        <v>105</v>
      </c>
      <c r="H25" s="166"/>
      <c r="I25" s="166" t="s">
        <v>103</v>
      </c>
      <c r="J25" s="167">
        <v>0.2</v>
      </c>
      <c r="U25" s="366" t="s">
        <v>139</v>
      </c>
      <c r="V25" s="367"/>
      <c r="W25" s="367"/>
    </row>
    <row r="26" spans="2:23" ht="18.75" customHeight="1" thickBot="1" x14ac:dyDescent="0.3">
      <c r="B26" s="166" t="s">
        <v>5</v>
      </c>
      <c r="C26" s="168" t="s">
        <v>34</v>
      </c>
      <c r="D26" s="168" t="str">
        <f t="shared" si="0"/>
        <v>HPXS1</v>
      </c>
      <c r="E26" s="166"/>
      <c r="F26" s="169" t="s">
        <v>104</v>
      </c>
      <c r="G26" s="166" t="s">
        <v>105</v>
      </c>
      <c r="H26" s="166"/>
      <c r="I26" s="166" t="s">
        <v>103</v>
      </c>
      <c r="J26" s="167">
        <v>0.1</v>
      </c>
      <c r="U26" s="226" t="str">
        <f>'CONVERSOR CodE a EHE-08'!Q5</f>
        <v/>
      </c>
      <c r="V26" s="226" t="str">
        <f>'CONVERSOR CodE a EHE-08'!S5</f>
        <v/>
      </c>
      <c r="W26" s="226" t="str">
        <f>'CONVERSOR CodE a EHE-08'!U5</f>
        <v/>
      </c>
    </row>
    <row r="27" spans="2:23" ht="18.75" customHeight="1" thickTop="1" x14ac:dyDescent="0.25">
      <c r="B27" s="166" t="s">
        <v>4</v>
      </c>
      <c r="C27" s="168" t="s">
        <v>36</v>
      </c>
      <c r="D27" s="168" t="str">
        <f t="shared" si="0"/>
        <v>HAXS2</v>
      </c>
      <c r="E27" s="166" t="s">
        <v>122</v>
      </c>
      <c r="F27" s="169" t="s">
        <v>104</v>
      </c>
      <c r="G27" s="166" t="s">
        <v>105</v>
      </c>
      <c r="H27" s="166"/>
      <c r="I27" s="166" t="s">
        <v>103</v>
      </c>
      <c r="J27" s="167">
        <v>0.2</v>
      </c>
      <c r="O27" s="128" t="str">
        <f>IFERROR(VLOOKUP(U$26,N$6:T$18,2,FALSE),"")</f>
        <v/>
      </c>
      <c r="P27" s="129" t="str">
        <f>IFERROR(VLOOKUP(U$26,N$6:T$18,3,FALSE),"")</f>
        <v/>
      </c>
      <c r="Q27" s="128" t="str">
        <f>IFERROR(VLOOKUP(U$26,N$6:T$18,4,FALSE),"")</f>
        <v/>
      </c>
      <c r="R27" s="129" t="str">
        <f>IFERROR(VLOOKUP(U$26,N$6:T$18,5,FALSE),"")</f>
        <v/>
      </c>
      <c r="S27" s="131" t="str">
        <f>IFERROR(VLOOKUP(U$26,N$6:T$18,6,FALSE),"")</f>
        <v/>
      </c>
      <c r="T27" s="129" t="str">
        <f>IFERROR(VLOOKUP(U$26,N$6:T$18,7,FALSE),"")</f>
        <v/>
      </c>
    </row>
    <row r="28" spans="2:23" ht="18.75" customHeight="1" x14ac:dyDescent="0.25">
      <c r="B28" s="166" t="s">
        <v>5</v>
      </c>
      <c r="C28" s="168" t="s">
        <v>36</v>
      </c>
      <c r="D28" s="168" t="str">
        <f t="shared" si="0"/>
        <v>HPXS2</v>
      </c>
      <c r="E28" s="166" t="s">
        <v>122</v>
      </c>
      <c r="F28" s="169" t="s">
        <v>104</v>
      </c>
      <c r="G28" s="166" t="s">
        <v>105</v>
      </c>
      <c r="H28" s="166"/>
      <c r="I28" s="166" t="s">
        <v>103</v>
      </c>
      <c r="J28" s="167">
        <v>0.1</v>
      </c>
      <c r="O28" s="135" t="str">
        <f>IFERROR(VLOOKUP(V$26,N$6:T$18,2,FALSE),"")</f>
        <v/>
      </c>
      <c r="P28" s="136" t="str">
        <f>IFERROR(VLOOKUP(V$26,N$6:T$18,3,FALSE),"")</f>
        <v/>
      </c>
      <c r="Q28" s="135" t="str">
        <f>IFERROR(VLOOKUP(V$26,N$6:T$18,4,FALSE),"")</f>
        <v/>
      </c>
      <c r="R28" s="136" t="str">
        <f>IFERROR(VLOOKUP(V$26,N$6:T$18,5,FALSE),"")</f>
        <v/>
      </c>
      <c r="S28" s="138" t="str">
        <f>IFERROR(VLOOKUP(V$26,N$6:T$18,6,FALSE),"")</f>
        <v/>
      </c>
      <c r="T28" s="136" t="str">
        <f>IFERROR(VLOOKUP(V$26,N$6:T$18,7,FALSE),"")</f>
        <v/>
      </c>
    </row>
    <row r="29" spans="2:23" ht="18.75" customHeight="1" thickBot="1" x14ac:dyDescent="0.3">
      <c r="B29" s="166" t="s">
        <v>4</v>
      </c>
      <c r="C29" s="168" t="s">
        <v>38</v>
      </c>
      <c r="D29" s="168" t="str">
        <f t="shared" si="0"/>
        <v>HAXS3</v>
      </c>
      <c r="E29" s="166" t="s">
        <v>122</v>
      </c>
      <c r="F29" s="166" t="s">
        <v>105</v>
      </c>
      <c r="G29" s="166" t="s">
        <v>106</v>
      </c>
      <c r="H29" s="166"/>
      <c r="I29" s="166" t="s">
        <v>103</v>
      </c>
      <c r="J29" s="167">
        <v>0.2</v>
      </c>
      <c r="O29" s="139" t="str">
        <f>IFERROR(VLOOKUP(W$26,N$6:T$18,2,FALSE),"")</f>
        <v/>
      </c>
      <c r="P29" s="140" t="str">
        <f>IFERROR(VLOOKUP(W$26,N$6:T$18,3,FALSE),"")</f>
        <v/>
      </c>
      <c r="Q29" s="139" t="str">
        <f>IFERROR(VLOOKUP(W$26,N$6:T$18,4,FALSE),"")</f>
        <v/>
      </c>
      <c r="R29" s="140" t="str">
        <f>IFERROR(VLOOKUP(W$26,N$6:T$18,5,FALSE),"")</f>
        <v/>
      </c>
      <c r="S29" s="142" t="str">
        <f>IFERROR(VLOOKUP(W$26,N$6:T$18,6,FALSE),"")</f>
        <v/>
      </c>
      <c r="T29" s="140" t="str">
        <f>IFERROR(VLOOKUP(W$26,N$6:T$18,7,FALSE),"")</f>
        <v/>
      </c>
    </row>
    <row r="30" spans="2:23" ht="18.75" customHeight="1" thickTop="1" x14ac:dyDescent="0.25">
      <c r="B30" s="166" t="s">
        <v>5</v>
      </c>
      <c r="C30" s="168" t="s">
        <v>38</v>
      </c>
      <c r="D30" s="168" t="str">
        <f t="shared" si="0"/>
        <v>HPXS3</v>
      </c>
      <c r="E30" s="166" t="s">
        <v>122</v>
      </c>
      <c r="F30" s="166" t="s">
        <v>105</v>
      </c>
      <c r="G30" s="166" t="s">
        <v>106</v>
      </c>
      <c r="H30" s="166"/>
      <c r="I30" s="166" t="s">
        <v>103</v>
      </c>
      <c r="J30" s="167">
        <v>0.1</v>
      </c>
      <c r="O30" s="368" t="s">
        <v>0</v>
      </c>
      <c r="P30" s="369"/>
      <c r="Q30" s="368" t="s">
        <v>4</v>
      </c>
      <c r="R30" s="369"/>
      <c r="S30" s="368" t="s">
        <v>5</v>
      </c>
      <c r="T30" s="370"/>
    </row>
    <row r="31" spans="2:23" ht="18.75" customHeight="1" thickBot="1" x14ac:dyDescent="0.3">
      <c r="B31" s="166" t="s">
        <v>0</v>
      </c>
      <c r="C31" s="168" t="s">
        <v>40</v>
      </c>
      <c r="D31" s="168" t="str">
        <f t="shared" si="0"/>
        <v>HMXF1</v>
      </c>
      <c r="E31" s="166"/>
      <c r="F31" s="166" t="s">
        <v>104</v>
      </c>
      <c r="G31" s="166" t="s">
        <v>105</v>
      </c>
      <c r="H31" s="166"/>
      <c r="I31" s="166" t="s">
        <v>103</v>
      </c>
      <c r="J31" s="167">
        <v>0.4</v>
      </c>
      <c r="O31" s="16" t="s">
        <v>57</v>
      </c>
      <c r="P31" s="17" t="s">
        <v>58</v>
      </c>
      <c r="Q31" s="16" t="s">
        <v>57</v>
      </c>
      <c r="R31" s="17" t="s">
        <v>58</v>
      </c>
      <c r="S31" s="16" t="s">
        <v>57</v>
      </c>
      <c r="T31" s="17" t="s">
        <v>58</v>
      </c>
    </row>
    <row r="32" spans="2:23" ht="18.75" customHeight="1" thickBot="1" x14ac:dyDescent="0.3">
      <c r="B32" s="166" t="s">
        <v>4</v>
      </c>
      <c r="C32" s="168" t="s">
        <v>40</v>
      </c>
      <c r="D32" s="168" t="str">
        <f t="shared" si="0"/>
        <v>HAXF1</v>
      </c>
      <c r="E32" s="166"/>
      <c r="F32" s="166" t="s">
        <v>104</v>
      </c>
      <c r="G32" s="166" t="s">
        <v>105</v>
      </c>
      <c r="H32" s="166"/>
      <c r="I32" s="166" t="s">
        <v>103</v>
      </c>
      <c r="J32" s="167">
        <v>0.4</v>
      </c>
      <c r="O32" s="227">
        <f>IFERROR(MIN(O27:O29),"")</f>
        <v>0</v>
      </c>
      <c r="P32" s="228">
        <f>IFERROR(MAX(P27:P29),"")</f>
        <v>0</v>
      </c>
      <c r="Q32" s="227">
        <f>IFERROR(MIN(Q27:Q29),"")</f>
        <v>0</v>
      </c>
      <c r="R32" s="228">
        <f>IFERROR(MAX(R27:R29),"")</f>
        <v>0</v>
      </c>
      <c r="S32" s="229">
        <f>IFERROR(MIN(S27:S29),"")</f>
        <v>0</v>
      </c>
      <c r="T32" s="228">
        <f>IFERROR(MAX(T27:T29),"")</f>
        <v>0</v>
      </c>
    </row>
    <row r="33" spans="2:10" ht="18.75" customHeight="1" thickTop="1" x14ac:dyDescent="0.25">
      <c r="B33" s="166" t="s">
        <v>5</v>
      </c>
      <c r="C33" s="168" t="s">
        <v>40</v>
      </c>
      <c r="D33" s="168" t="str">
        <f t="shared" si="0"/>
        <v>HPXF1</v>
      </c>
      <c r="E33" s="166"/>
      <c r="F33" s="166" t="s">
        <v>104</v>
      </c>
      <c r="G33" s="166" t="s">
        <v>105</v>
      </c>
      <c r="H33" s="166"/>
      <c r="I33" s="166" t="s">
        <v>103</v>
      </c>
      <c r="J33" s="167">
        <v>0.2</v>
      </c>
    </row>
    <row r="34" spans="2:10" ht="18.75" customHeight="1" x14ac:dyDescent="0.25">
      <c r="B34" s="166" t="s">
        <v>0</v>
      </c>
      <c r="C34" s="168" t="s">
        <v>41</v>
      </c>
      <c r="D34" s="168" t="str">
        <f t="shared" si="0"/>
        <v>HMXF2</v>
      </c>
      <c r="E34" s="166"/>
      <c r="F34" s="166" t="s">
        <v>104</v>
      </c>
      <c r="G34" s="166" t="s">
        <v>105</v>
      </c>
      <c r="H34" s="170" t="s">
        <v>107</v>
      </c>
      <c r="I34" s="166" t="s">
        <v>103</v>
      </c>
      <c r="J34" s="167">
        <v>0.4</v>
      </c>
    </row>
    <row r="35" spans="2:10" ht="18.75" customHeight="1" x14ac:dyDescent="0.25">
      <c r="B35" s="166" t="s">
        <v>4</v>
      </c>
      <c r="C35" s="168" t="s">
        <v>41</v>
      </c>
      <c r="D35" s="168" t="str">
        <f t="shared" si="0"/>
        <v>HAXF2</v>
      </c>
      <c r="E35" s="166"/>
      <c r="F35" s="166" t="s">
        <v>104</v>
      </c>
      <c r="G35" s="166" t="s">
        <v>105</v>
      </c>
      <c r="H35" s="170" t="s">
        <v>107</v>
      </c>
      <c r="I35" s="166" t="s">
        <v>103</v>
      </c>
      <c r="J35" s="167">
        <v>0.4</v>
      </c>
    </row>
    <row r="36" spans="2:10" ht="18.75" customHeight="1" x14ac:dyDescent="0.25">
      <c r="B36" s="166" t="s">
        <v>5</v>
      </c>
      <c r="C36" s="168" t="s">
        <v>41</v>
      </c>
      <c r="D36" s="168" t="str">
        <f t="shared" si="0"/>
        <v>HPXF2</v>
      </c>
      <c r="E36" s="166"/>
      <c r="F36" s="166" t="s">
        <v>104</v>
      </c>
      <c r="G36" s="166" t="s">
        <v>105</v>
      </c>
      <c r="H36" s="170" t="s">
        <v>107</v>
      </c>
      <c r="I36" s="166" t="s">
        <v>103</v>
      </c>
      <c r="J36" s="167">
        <v>0.2</v>
      </c>
    </row>
    <row r="37" spans="2:10" ht="18.75" customHeight="1" x14ac:dyDescent="0.25">
      <c r="B37" s="166" t="s">
        <v>0</v>
      </c>
      <c r="C37" s="168" t="s">
        <v>42</v>
      </c>
      <c r="D37" s="168" t="str">
        <f t="shared" si="0"/>
        <v>HMXF3</v>
      </c>
      <c r="E37" s="166"/>
      <c r="F37" s="166" t="s">
        <v>104</v>
      </c>
      <c r="G37" s="166" t="s">
        <v>105</v>
      </c>
      <c r="H37" s="166"/>
      <c r="I37" s="166" t="s">
        <v>103</v>
      </c>
      <c r="J37" s="167">
        <v>0.4</v>
      </c>
    </row>
    <row r="38" spans="2:10" ht="18.75" customHeight="1" x14ac:dyDescent="0.25">
      <c r="B38" s="166" t="s">
        <v>4</v>
      </c>
      <c r="C38" s="168" t="s">
        <v>42</v>
      </c>
      <c r="D38" s="168" t="str">
        <f t="shared" si="0"/>
        <v>HAXF3</v>
      </c>
      <c r="E38" s="166"/>
      <c r="F38" s="166" t="s">
        <v>104</v>
      </c>
      <c r="G38" s="166" t="s">
        <v>105</v>
      </c>
      <c r="H38" s="166"/>
      <c r="I38" s="166" t="s">
        <v>103</v>
      </c>
      <c r="J38" s="167">
        <v>0.4</v>
      </c>
    </row>
    <row r="39" spans="2:10" ht="18.75" customHeight="1" x14ac:dyDescent="0.25">
      <c r="B39" s="166" t="s">
        <v>5</v>
      </c>
      <c r="C39" s="168" t="s">
        <v>42</v>
      </c>
      <c r="D39" s="168" t="str">
        <f t="shared" si="0"/>
        <v>HPXF3</v>
      </c>
      <c r="E39" s="166"/>
      <c r="F39" s="166" t="s">
        <v>104</v>
      </c>
      <c r="G39" s="166" t="s">
        <v>105</v>
      </c>
      <c r="H39" s="166"/>
      <c r="I39" s="166" t="s">
        <v>103</v>
      </c>
      <c r="J39" s="167">
        <v>0.2</v>
      </c>
    </row>
    <row r="40" spans="2:10" ht="23.25" x14ac:dyDescent="0.25">
      <c r="B40" s="166" t="s">
        <v>0</v>
      </c>
      <c r="C40" s="168" t="s">
        <v>43</v>
      </c>
      <c r="D40" s="168" t="str">
        <f t="shared" si="0"/>
        <v>HMXF4</v>
      </c>
      <c r="E40" s="166"/>
      <c r="F40" s="166" t="s">
        <v>104</v>
      </c>
      <c r="G40" s="166" t="s">
        <v>105</v>
      </c>
      <c r="H40" s="170" t="s">
        <v>107</v>
      </c>
      <c r="I40" s="166" t="s">
        <v>103</v>
      </c>
      <c r="J40" s="167">
        <v>0.4</v>
      </c>
    </row>
    <row r="41" spans="2:10" ht="23.25" x14ac:dyDescent="0.25">
      <c r="B41" s="166" t="s">
        <v>4</v>
      </c>
      <c r="C41" s="168" t="s">
        <v>43</v>
      </c>
      <c r="D41" s="168" t="str">
        <f t="shared" si="0"/>
        <v>HAXF4</v>
      </c>
      <c r="E41" s="166"/>
      <c r="F41" s="166" t="s">
        <v>104</v>
      </c>
      <c r="G41" s="166" t="s">
        <v>105</v>
      </c>
      <c r="H41" s="170" t="s">
        <v>107</v>
      </c>
      <c r="I41" s="166" t="s">
        <v>103</v>
      </c>
      <c r="J41" s="167">
        <v>0.4</v>
      </c>
    </row>
    <row r="42" spans="2:10" ht="23.25" x14ac:dyDescent="0.25">
      <c r="B42" s="166" t="s">
        <v>5</v>
      </c>
      <c r="C42" s="168" t="s">
        <v>43</v>
      </c>
      <c r="D42" s="168" t="str">
        <f t="shared" si="0"/>
        <v>HPXF4</v>
      </c>
      <c r="E42" s="166"/>
      <c r="F42" s="166" t="s">
        <v>104</v>
      </c>
      <c r="G42" s="166" t="s">
        <v>105</v>
      </c>
      <c r="H42" s="170" t="s">
        <v>107</v>
      </c>
      <c r="I42" s="166" t="s">
        <v>103</v>
      </c>
      <c r="J42" s="167">
        <v>0.2</v>
      </c>
    </row>
    <row r="43" spans="2:10" ht="23.25" x14ac:dyDescent="0.25">
      <c r="B43" s="166" t="s">
        <v>0</v>
      </c>
      <c r="C43" s="168" t="s">
        <v>44</v>
      </c>
      <c r="D43" s="168" t="str">
        <f t="shared" si="0"/>
        <v>HMXA1</v>
      </c>
      <c r="E43" s="166"/>
      <c r="F43" s="166" t="s">
        <v>104</v>
      </c>
      <c r="G43" s="166" t="s">
        <v>105</v>
      </c>
      <c r="H43" s="166"/>
      <c r="I43" s="166" t="s">
        <v>103</v>
      </c>
      <c r="J43" s="167">
        <v>0.4</v>
      </c>
    </row>
    <row r="44" spans="2:10" ht="23.25" x14ac:dyDescent="0.25">
      <c r="B44" s="166" t="s">
        <v>4</v>
      </c>
      <c r="C44" s="168" t="s">
        <v>44</v>
      </c>
      <c r="D44" s="168" t="str">
        <f t="shared" si="0"/>
        <v>HAXA1</v>
      </c>
      <c r="E44" s="166"/>
      <c r="F44" s="166" t="s">
        <v>104</v>
      </c>
      <c r="G44" s="166" t="s">
        <v>105</v>
      </c>
      <c r="H44" s="166"/>
      <c r="I44" s="166" t="s">
        <v>103</v>
      </c>
      <c r="J44" s="167">
        <v>0.4</v>
      </c>
    </row>
    <row r="45" spans="2:10" ht="23.25" x14ac:dyDescent="0.25">
      <c r="B45" s="166" t="s">
        <v>5</v>
      </c>
      <c r="C45" s="168" t="s">
        <v>44</v>
      </c>
      <c r="D45" s="168" t="str">
        <f t="shared" si="0"/>
        <v>HPXA1</v>
      </c>
      <c r="E45" s="166"/>
      <c r="F45" s="166" t="s">
        <v>104</v>
      </c>
      <c r="G45" s="166" t="s">
        <v>105</v>
      </c>
      <c r="H45" s="166"/>
      <c r="I45" s="166" t="s">
        <v>103</v>
      </c>
      <c r="J45" s="167">
        <v>0.2</v>
      </c>
    </row>
    <row r="46" spans="2:10" ht="23.25" x14ac:dyDescent="0.25">
      <c r="B46" s="166" t="s">
        <v>0</v>
      </c>
      <c r="C46" s="168" t="s">
        <v>45</v>
      </c>
      <c r="D46" s="168" t="str">
        <f t="shared" si="0"/>
        <v>HMXA2</v>
      </c>
      <c r="E46" s="166" t="s">
        <v>128</v>
      </c>
      <c r="F46" s="166" t="s">
        <v>104</v>
      </c>
      <c r="G46" s="166" t="s">
        <v>105</v>
      </c>
      <c r="H46" s="166"/>
      <c r="I46" s="166" t="s">
        <v>103</v>
      </c>
      <c r="J46" s="167">
        <v>0.4</v>
      </c>
    </row>
    <row r="47" spans="2:10" ht="23.25" x14ac:dyDescent="0.25">
      <c r="B47" s="166" t="s">
        <v>4</v>
      </c>
      <c r="C47" s="168" t="s">
        <v>45</v>
      </c>
      <c r="D47" s="168" t="str">
        <f t="shared" si="0"/>
        <v>HAXA2</v>
      </c>
      <c r="E47" s="171" t="s">
        <v>127</v>
      </c>
      <c r="F47" s="166" t="s">
        <v>104</v>
      </c>
      <c r="G47" s="166" t="s">
        <v>105</v>
      </c>
      <c r="H47" s="166"/>
      <c r="I47" s="166" t="s">
        <v>103</v>
      </c>
      <c r="J47" s="167">
        <v>0.4</v>
      </c>
    </row>
    <row r="48" spans="2:10" ht="23.25" x14ac:dyDescent="0.25">
      <c r="B48" s="166" t="s">
        <v>5</v>
      </c>
      <c r="C48" s="168" t="s">
        <v>45</v>
      </c>
      <c r="D48" s="168" t="str">
        <f t="shared" si="0"/>
        <v>HPXA2</v>
      </c>
      <c r="E48" s="171" t="s">
        <v>127</v>
      </c>
      <c r="F48" s="166" t="s">
        <v>105</v>
      </c>
      <c r="G48" s="166" t="s">
        <v>106</v>
      </c>
      <c r="H48" s="166"/>
      <c r="I48" s="166" t="s">
        <v>103</v>
      </c>
      <c r="J48" s="167">
        <v>0.2</v>
      </c>
    </row>
    <row r="49" spans="2:10" ht="23.25" x14ac:dyDescent="0.25">
      <c r="B49" s="166" t="s">
        <v>0</v>
      </c>
      <c r="C49" s="168" t="s">
        <v>46</v>
      </c>
      <c r="D49" s="168" t="str">
        <f t="shared" si="0"/>
        <v>HMXA3</v>
      </c>
      <c r="E49" s="171" t="s">
        <v>127</v>
      </c>
      <c r="F49" s="166" t="s">
        <v>105</v>
      </c>
      <c r="G49" s="166" t="s">
        <v>106</v>
      </c>
      <c r="H49" s="166"/>
      <c r="I49" s="166" t="s">
        <v>103</v>
      </c>
      <c r="J49" s="167">
        <v>0.4</v>
      </c>
    </row>
    <row r="50" spans="2:10" ht="23.25" x14ac:dyDescent="0.25">
      <c r="B50" s="166" t="s">
        <v>4</v>
      </c>
      <c r="C50" s="168" t="s">
        <v>46</v>
      </c>
      <c r="D50" s="168" t="str">
        <f t="shared" si="0"/>
        <v>HAXA3</v>
      </c>
      <c r="E50" s="171" t="s">
        <v>127</v>
      </c>
      <c r="F50" s="166" t="s">
        <v>105</v>
      </c>
      <c r="G50" s="166" t="s">
        <v>106</v>
      </c>
      <c r="H50" s="166"/>
      <c r="I50" s="166" t="s">
        <v>103</v>
      </c>
      <c r="J50" s="167">
        <v>0.4</v>
      </c>
    </row>
    <row r="51" spans="2:10" ht="23.25" x14ac:dyDescent="0.25">
      <c r="B51" s="166" t="s">
        <v>5</v>
      </c>
      <c r="C51" s="168" t="s">
        <v>46</v>
      </c>
      <c r="D51" s="168" t="str">
        <f t="shared" si="0"/>
        <v>HPXA3</v>
      </c>
      <c r="E51" s="171" t="s">
        <v>127</v>
      </c>
      <c r="F51" s="166" t="s">
        <v>105</v>
      </c>
      <c r="G51" s="166" t="s">
        <v>106</v>
      </c>
      <c r="H51" s="166"/>
      <c r="I51" s="166" t="s">
        <v>103</v>
      </c>
      <c r="J51" s="167">
        <v>0.2</v>
      </c>
    </row>
    <row r="52" spans="2:10" ht="23.25" x14ac:dyDescent="0.25">
      <c r="B52" s="166" t="s">
        <v>0</v>
      </c>
      <c r="C52" s="168" t="s">
        <v>47</v>
      </c>
      <c r="D52" s="168" t="str">
        <f t="shared" si="0"/>
        <v>HMXM1</v>
      </c>
      <c r="E52" s="166"/>
      <c r="F52" s="166" t="s">
        <v>104</v>
      </c>
      <c r="G52" s="166" t="s">
        <v>105</v>
      </c>
      <c r="H52" s="166"/>
      <c r="I52" s="166" t="s">
        <v>103</v>
      </c>
      <c r="J52" s="167">
        <v>0.4</v>
      </c>
    </row>
    <row r="53" spans="2:10" ht="23.25" x14ac:dyDescent="0.25">
      <c r="B53" s="166" t="s">
        <v>4</v>
      </c>
      <c r="C53" s="168" t="s">
        <v>47</v>
      </c>
      <c r="D53" s="168" t="str">
        <f t="shared" si="0"/>
        <v>HAXM1</v>
      </c>
      <c r="E53" s="166"/>
      <c r="F53" s="166" t="s">
        <v>104</v>
      </c>
      <c r="G53" s="166" t="s">
        <v>105</v>
      </c>
      <c r="H53" s="166"/>
      <c r="I53" s="166" t="s">
        <v>103</v>
      </c>
      <c r="J53" s="167">
        <v>0.4</v>
      </c>
    </row>
    <row r="54" spans="2:10" ht="23.25" x14ac:dyDescent="0.25">
      <c r="B54" s="166" t="s">
        <v>5</v>
      </c>
      <c r="C54" s="168" t="s">
        <v>47</v>
      </c>
      <c r="D54" s="168" t="str">
        <f t="shared" si="0"/>
        <v>HPXM1</v>
      </c>
      <c r="E54" s="166"/>
      <c r="F54" s="166" t="s">
        <v>104</v>
      </c>
      <c r="G54" s="166" t="s">
        <v>105</v>
      </c>
      <c r="H54" s="166"/>
      <c r="I54" s="166" t="s">
        <v>103</v>
      </c>
      <c r="J54" s="167">
        <v>0.2</v>
      </c>
    </row>
    <row r="55" spans="2:10" ht="23.25" x14ac:dyDescent="0.25">
      <c r="B55" s="166" t="s">
        <v>0</v>
      </c>
      <c r="C55" s="168" t="s">
        <v>48</v>
      </c>
      <c r="D55" s="168" t="str">
        <f t="shared" si="0"/>
        <v>HMXM2</v>
      </c>
      <c r="E55" s="166"/>
      <c r="F55" s="166" t="s">
        <v>104</v>
      </c>
      <c r="G55" s="166" t="s">
        <v>105</v>
      </c>
      <c r="H55" s="166"/>
      <c r="I55" s="166" t="s">
        <v>103</v>
      </c>
      <c r="J55" s="167">
        <v>0.4</v>
      </c>
    </row>
    <row r="56" spans="2:10" ht="23.25" x14ac:dyDescent="0.25">
      <c r="B56" s="166" t="s">
        <v>4</v>
      </c>
      <c r="C56" s="168" t="s">
        <v>48</v>
      </c>
      <c r="D56" s="168" t="str">
        <f t="shared" si="0"/>
        <v>HAXM2</v>
      </c>
      <c r="E56" s="166"/>
      <c r="F56" s="166" t="s">
        <v>104</v>
      </c>
      <c r="G56" s="166" t="s">
        <v>105</v>
      </c>
      <c r="H56" s="166"/>
      <c r="I56" s="166" t="s">
        <v>103</v>
      </c>
      <c r="J56" s="167">
        <v>0.4</v>
      </c>
    </row>
    <row r="57" spans="2:10" ht="23.25" x14ac:dyDescent="0.25">
      <c r="B57" s="166" t="s">
        <v>5</v>
      </c>
      <c r="C57" s="168" t="s">
        <v>48</v>
      </c>
      <c r="D57" s="168" t="str">
        <f t="shared" si="0"/>
        <v>HPXM2</v>
      </c>
      <c r="E57" s="166"/>
      <c r="F57" s="166" t="s">
        <v>104</v>
      </c>
      <c r="G57" s="166" t="s">
        <v>105</v>
      </c>
      <c r="H57" s="166"/>
      <c r="I57" s="166" t="s">
        <v>103</v>
      </c>
      <c r="J57" s="167">
        <v>0.2</v>
      </c>
    </row>
    <row r="58" spans="2:10" ht="23.25" x14ac:dyDescent="0.25">
      <c r="B58" s="166" t="s">
        <v>0</v>
      </c>
      <c r="C58" s="168" t="s">
        <v>49</v>
      </c>
      <c r="D58" s="168" t="str">
        <f t="shared" si="0"/>
        <v>HMXM3</v>
      </c>
      <c r="E58" s="166"/>
      <c r="F58" s="166" t="s">
        <v>104</v>
      </c>
      <c r="G58" s="166" t="s">
        <v>105</v>
      </c>
      <c r="H58" s="166"/>
      <c r="I58" s="166" t="s">
        <v>103</v>
      </c>
      <c r="J58" s="167">
        <v>0.4</v>
      </c>
    </row>
    <row r="59" spans="2:10" ht="23.25" x14ac:dyDescent="0.25">
      <c r="B59" s="166" t="s">
        <v>4</v>
      </c>
      <c r="C59" s="168" t="s">
        <v>49</v>
      </c>
      <c r="D59" s="168" t="str">
        <f t="shared" si="0"/>
        <v>HAXM3</v>
      </c>
      <c r="E59" s="166"/>
      <c r="F59" s="166" t="s">
        <v>104</v>
      </c>
      <c r="G59" s="166" t="s">
        <v>105</v>
      </c>
      <c r="H59" s="166"/>
      <c r="I59" s="166" t="s">
        <v>103</v>
      </c>
      <c r="J59" s="167">
        <v>0.4</v>
      </c>
    </row>
    <row r="60" spans="2:10" ht="23.25" x14ac:dyDescent="0.25">
      <c r="B60" s="166" t="s">
        <v>5</v>
      </c>
      <c r="C60" s="168" t="s">
        <v>49</v>
      </c>
      <c r="D60" s="168" t="str">
        <f t="shared" si="0"/>
        <v>HPXM3</v>
      </c>
      <c r="E60" s="166"/>
      <c r="F60" s="166" t="s">
        <v>104</v>
      </c>
      <c r="G60" s="166" t="s">
        <v>105</v>
      </c>
      <c r="H60" s="166"/>
      <c r="I60" s="166" t="s">
        <v>103</v>
      </c>
      <c r="J60" s="167">
        <v>0.2</v>
      </c>
    </row>
  </sheetData>
  <mergeCells count="18">
    <mergeCell ref="J4:J6"/>
    <mergeCell ref="U25:W25"/>
    <mergeCell ref="O30:P30"/>
    <mergeCell ref="Q30:R30"/>
    <mergeCell ref="S30:T30"/>
    <mergeCell ref="O4:P4"/>
    <mergeCell ref="Q4:R4"/>
    <mergeCell ref="S4:T4"/>
    <mergeCell ref="U17:W17"/>
    <mergeCell ref="O22:P22"/>
    <mergeCell ref="Q22:R22"/>
    <mergeCell ref="S22:T22"/>
    <mergeCell ref="B4:B7"/>
    <mergeCell ref="E4:E7"/>
    <mergeCell ref="I4:I7"/>
    <mergeCell ref="D4:D7"/>
    <mergeCell ref="C4:C7"/>
    <mergeCell ref="F4:H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71AE04-F641-4107-BDAD-8F3DAEA2D0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CONVERSOR EHE-08 a CodE</vt:lpstr>
      <vt:lpstr>CONVERSOR CodE a EHE-08</vt:lpstr>
      <vt:lpstr>CÁLCULO TRADUCTOR EHE-CodE</vt:lpstr>
      <vt:lpstr>CÁLCULO TRADUCTOR CodE-EHE</vt:lpstr>
      <vt:lpstr>PRESCRIPCIONES EHE-CodE</vt:lpstr>
      <vt:lpstr>PRESCRIPCIONES CodE-EHE</vt:lpstr>
      <vt:lpstr>Prescripciones generales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34679</dc:creator>
  <cp:lastModifiedBy>Teo</cp:lastModifiedBy>
  <dcterms:created xsi:type="dcterms:W3CDTF">2021-06-22T08:40:08Z</dcterms:created>
  <dcterms:modified xsi:type="dcterms:W3CDTF">2022-11-30T15:57:07Z</dcterms:modified>
</cp:coreProperties>
</file>